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saifalsa\Downloads\"/>
    </mc:Choice>
  </mc:AlternateContent>
  <xr:revisionPtr revIDLastSave="0" documentId="8_{AC2161AF-B822-46FD-8F32-314569E3E1CB}" xr6:coauthVersionLast="47" xr6:coauthVersionMax="47" xr10:uidLastSave="{00000000-0000-0000-0000-000000000000}"/>
  <bookViews>
    <workbookView xWindow="-120" yWindow="-120" windowWidth="29040" windowHeight="17520" tabRatio="931" xr2:uid="{00000000-000D-0000-FFFF-FFFF00000000}"/>
  </bookViews>
  <sheets>
    <sheet name="Start &amp; resultat" sheetId="43" r:id="rId1"/>
    <sheet name="A. Byggnadsinfo med BBR" sheetId="33" r:id="rId2"/>
    <sheet name="B1. Resultat beräkning" sheetId="35" r:id="rId3"/>
    <sheet name="B2. Indata beräkning" sheetId="37" r:id="rId4"/>
    <sheet name="PETberäkning" sheetId="46" r:id="rId5"/>
    <sheet name="UHM" sheetId="50" r:id="rId6"/>
    <sheet name="VFT" sheetId="49" r:id="rId7"/>
    <sheet name="C1. Resultat mätning" sheetId="18" r:id="rId8"/>
    <sheet name="C2. Inmatning och verifiering" sheetId="47" r:id="rId9"/>
    <sheet name="C3. Normaliseringsunderlag" sheetId="13" r:id="rId10"/>
    <sheet name="C4. Underlag-mätplan" sheetId="20" r:id="rId11"/>
    <sheet name="Fgeo" sheetId="41" state="hidden" r:id="rId12"/>
  </sheets>
  <definedNames>
    <definedName name="_xlnm._FilterDatabase" localSheetId="8" hidden="1">'C2. Inmatning och verifiering'!$A$12:$A$54</definedName>
    <definedName name="_Toc275512702" localSheetId="2">'B1. Resultat beräkning'!#REF!</definedName>
    <definedName name="Atemp">'B2. Indata beräkning'!#REF!</definedName>
    <definedName name="BBRversion">Fgeo!$F$21:$H$21</definedName>
    <definedName name="ByggnadsID">'A. Byggnadsinfo med BBR'!#REF!</definedName>
    <definedName name="Byggnadskategori">Fgeo!$F$18:$I$18</definedName>
    <definedName name="Byggnadskomplexitet">Fgeo!$F$19:$H$19</definedName>
    <definedName name="Byggnadstyp">Fgeo!$F$20:$H$20</definedName>
    <definedName name="Egen_beteckning">'A. Byggnadsinfo med BBR'!$C$10</definedName>
    <definedName name="Fastighetsbeteckning">'A. Byggnadsinfo med BBR'!#REF!</definedName>
    <definedName name="Fgeo">#REF!</definedName>
    <definedName name="Fgeo_aktuell">#REF!</definedName>
    <definedName name="Kommun">'A. Byggnadsinfo med BBR'!$C$6</definedName>
    <definedName name="Kommunnamn" localSheetId="8">Tabell1[KOMMUNNAMN]</definedName>
    <definedName name="Kommunnamn">Tabell1[KOMMUNNAMN]</definedName>
    <definedName name="Län">'A. Byggnadsinfo med BBR'!#REF!</definedName>
    <definedName name="_xlnm.Print_Area" localSheetId="7">'C1. Resultat mätning'!$A$1:$Q$76</definedName>
    <definedName name="_xlnm.Print_Area" localSheetId="8">'C2. Inmatning och verifiering'!$A$2:$AV$55</definedName>
    <definedName name="_xlnm.Print_Area" localSheetId="9">'C3. Normaliseringsunderlag'!$A$1:$N$88</definedName>
    <definedName name="_xlnm.Print_Area" localSheetId="10">'C4. Underlag-mätplan'!$A$1:$L$56</definedName>
    <definedName name="UUID">'A. Byggnadsinfo med BBR'!$C$10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8" l="1"/>
  <c r="F45" i="18"/>
  <c r="F28" i="18"/>
  <c r="F29" i="18"/>
  <c r="O20" i="46"/>
  <c r="N20" i="46"/>
  <c r="M20" i="46"/>
  <c r="L20" i="46"/>
  <c r="E13" i="49"/>
  <c r="C13" i="49"/>
  <c r="E70" i="33"/>
  <c r="F70" i="33"/>
  <c r="G70" i="33"/>
  <c r="H70" i="33"/>
  <c r="D70" i="33"/>
  <c r="E69" i="33"/>
  <c r="F69" i="33"/>
  <c r="G69" i="33"/>
  <c r="H69" i="33"/>
  <c r="D69" i="33"/>
  <c r="D51" i="33"/>
  <c r="H8" i="37"/>
  <c r="H9" i="37"/>
  <c r="H10" i="37"/>
  <c r="H11" i="37"/>
  <c r="H12" i="37"/>
  <c r="H13" i="37"/>
  <c r="H14" i="37"/>
  <c r="H15" i="37"/>
  <c r="H16" i="37"/>
  <c r="H17" i="37"/>
  <c r="H7" i="37"/>
  <c r="E8" i="37"/>
  <c r="E9" i="37"/>
  <c r="E10" i="37"/>
  <c r="E11" i="37"/>
  <c r="E12" i="37"/>
  <c r="E13" i="37"/>
  <c r="E14" i="37"/>
  <c r="E15" i="37"/>
  <c r="E16" i="37"/>
  <c r="E17" i="37"/>
  <c r="E7" i="37"/>
  <c r="W20" i="47"/>
  <c r="AG7" i="47"/>
  <c r="AG6" i="47"/>
  <c r="AG5" i="47"/>
  <c r="AF7" i="47"/>
  <c r="AF6" i="47"/>
  <c r="AF5" i="47"/>
  <c r="D58" i="13"/>
  <c r="D57" i="13"/>
  <c r="D56" i="13"/>
  <c r="D55" i="13"/>
  <c r="D54" i="13"/>
  <c r="D53" i="13"/>
  <c r="D31" i="13"/>
  <c r="D59" i="13"/>
  <c r="F15" i="13"/>
  <c r="W21" i="47"/>
  <c r="H30" i="18"/>
  <c r="X42" i="47"/>
  <c r="X43" i="47"/>
  <c r="X44" i="47"/>
  <c r="X45" i="47"/>
  <c r="X46" i="47"/>
  <c r="X47" i="47"/>
  <c r="X48" i="47"/>
  <c r="X49" i="47"/>
  <c r="X50" i="47"/>
  <c r="X51" i="47"/>
  <c r="X52" i="47"/>
  <c r="X53" i="47"/>
  <c r="X41" i="47"/>
  <c r="X28" i="47"/>
  <c r="X29" i="47"/>
  <c r="X30" i="47"/>
  <c r="X31" i="47"/>
  <c r="X32" i="47"/>
  <c r="X33" i="47"/>
  <c r="X34" i="47"/>
  <c r="X35" i="47"/>
  <c r="X36" i="47"/>
  <c r="X37" i="47"/>
  <c r="X38" i="47"/>
  <c r="X39" i="47"/>
  <c r="X27" i="47"/>
  <c r="S42" i="47"/>
  <c r="S43" i="47"/>
  <c r="S44" i="47"/>
  <c r="S45" i="47"/>
  <c r="S46" i="47"/>
  <c r="S47" i="47"/>
  <c r="S48" i="47"/>
  <c r="S49" i="47"/>
  <c r="S50" i="47"/>
  <c r="S51" i="47"/>
  <c r="S52" i="47"/>
  <c r="S53" i="47"/>
  <c r="S41" i="47"/>
  <c r="S28" i="47"/>
  <c r="S29" i="47"/>
  <c r="S30" i="47"/>
  <c r="S31" i="47"/>
  <c r="S32" i="47"/>
  <c r="S33" i="47"/>
  <c r="S34" i="47"/>
  <c r="S35" i="47"/>
  <c r="S36" i="47"/>
  <c r="S37" i="47"/>
  <c r="S38" i="47"/>
  <c r="S39" i="47"/>
  <c r="S27" i="47"/>
  <c r="D30" i="13" l="1"/>
  <c r="D29" i="13"/>
  <c r="D28" i="13"/>
  <c r="D27" i="13"/>
  <c r="D26" i="13"/>
  <c r="D25" i="13"/>
  <c r="D78" i="13"/>
  <c r="C58" i="18"/>
  <c r="W65" i="49"/>
  <c r="W64" i="49"/>
  <c r="W63" i="49"/>
  <c r="W62" i="49"/>
  <c r="W61" i="49"/>
  <c r="W60" i="49"/>
  <c r="W59" i="49"/>
  <c r="W58" i="49"/>
  <c r="W57" i="49"/>
  <c r="W56" i="49"/>
  <c r="W55" i="49"/>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D26" i="35"/>
  <c r="K5" i="50"/>
  <c r="L5" i="50"/>
  <c r="M5" i="50"/>
  <c r="K6" i="50"/>
  <c r="K15" i="50" s="1"/>
  <c r="L6" i="50"/>
  <c r="L15" i="50" s="1"/>
  <c r="M6" i="50"/>
  <c r="K7" i="50"/>
  <c r="L7" i="50"/>
  <c r="M7" i="50"/>
  <c r="K8" i="50"/>
  <c r="L8" i="50"/>
  <c r="M8" i="50"/>
  <c r="N8" i="50"/>
  <c r="K9" i="50"/>
  <c r="L9" i="50"/>
  <c r="M9" i="50"/>
  <c r="K10" i="50"/>
  <c r="L10" i="50"/>
  <c r="M10" i="50"/>
  <c r="K11" i="50"/>
  <c r="L11" i="50"/>
  <c r="M11" i="50"/>
  <c r="K13" i="50"/>
  <c r="L13" i="50"/>
  <c r="M13" i="50"/>
  <c r="K14" i="50"/>
  <c r="L14" i="50"/>
  <c r="M14" i="50"/>
  <c r="E28" i="50"/>
  <c r="F28" i="50"/>
  <c r="D28" i="50"/>
  <c r="G22" i="50"/>
  <c r="G21" i="50"/>
  <c r="J17" i="49" a="1"/>
  <c r="J17" i="49" l="1"/>
  <c r="M15" i="50"/>
  <c r="E8" i="50"/>
  <c r="F8" i="50"/>
  <c r="D8" i="50"/>
  <c r="Q18" i="49" l="1"/>
  <c r="D11" i="50"/>
  <c r="E11" i="50"/>
  <c r="F11" i="50"/>
  <c r="E14" i="50"/>
  <c r="F14" i="50"/>
  <c r="D14" i="50"/>
  <c r="E13" i="50"/>
  <c r="F13" i="50"/>
  <c r="D13" i="50"/>
  <c r="E10" i="50"/>
  <c r="F10" i="50"/>
  <c r="D10" i="50"/>
  <c r="E9" i="50"/>
  <c r="F9" i="50"/>
  <c r="D9" i="50"/>
  <c r="G18" i="50"/>
  <c r="F18" i="50"/>
  <c r="E18" i="50"/>
  <c r="D18" i="50"/>
  <c r="D16" i="49" l="1"/>
  <c r="D18" i="49"/>
  <c r="Q26" i="47" l="1"/>
  <c r="E49" i="35" l="1"/>
  <c r="D12" i="46"/>
  <c r="D13" i="46"/>
  <c r="D14" i="46"/>
  <c r="D15" i="46"/>
  <c r="D16" i="46"/>
  <c r="D17" i="46"/>
  <c r="D18" i="46"/>
  <c r="D19" i="46"/>
  <c r="D20" i="46"/>
  <c r="D21" i="46"/>
  <c r="D22" i="46"/>
  <c r="D23" i="46"/>
  <c r="D24" i="46"/>
  <c r="D25" i="46"/>
  <c r="D26" i="46"/>
  <c r="D27" i="46"/>
  <c r="D28" i="46"/>
  <c r="D29" i="46"/>
  <c r="D30" i="46"/>
  <c r="D31" i="46"/>
  <c r="D11" i="46"/>
  <c r="C12" i="46"/>
  <c r="C13" i="46"/>
  <c r="C14" i="46"/>
  <c r="C15" i="46"/>
  <c r="C16" i="46"/>
  <c r="C17" i="46"/>
  <c r="C18" i="46"/>
  <c r="C19" i="46"/>
  <c r="C20" i="46"/>
  <c r="C21" i="46"/>
  <c r="C22" i="46"/>
  <c r="C23" i="46"/>
  <c r="C24" i="46"/>
  <c r="C25" i="46"/>
  <c r="C26" i="46"/>
  <c r="C27" i="46"/>
  <c r="C28" i="46"/>
  <c r="C29" i="46"/>
  <c r="C30" i="46"/>
  <c r="C31" i="46"/>
  <c r="C11" i="46"/>
  <c r="D49" i="35"/>
  <c r="F26" i="35"/>
  <c r="E26" i="35"/>
  <c r="F49" i="35"/>
  <c r="C35" i="18"/>
  <c r="C52" i="18"/>
  <c r="C69" i="18"/>
  <c r="C31" i="18"/>
  <c r="C48" i="18" s="1"/>
  <c r="C30" i="18"/>
  <c r="C47" i="18" s="1"/>
  <c r="C29" i="18"/>
  <c r="C46" i="18" s="1"/>
  <c r="C28" i="18"/>
  <c r="C45" i="18" s="1"/>
  <c r="C27" i="18"/>
  <c r="C61" i="18" s="1"/>
  <c r="C26" i="18"/>
  <c r="C60" i="18" s="1"/>
  <c r="E8" i="49"/>
  <c r="D8" i="49"/>
  <c r="Q15" i="49"/>
  <c r="Q16" i="49"/>
  <c r="Q17"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14" i="49"/>
  <c r="D62" i="33"/>
  <c r="D61" i="33"/>
  <c r="E55" i="33"/>
  <c r="K62" i="33"/>
  <c r="J14" i="49" a="1"/>
  <c r="C62" i="18" l="1"/>
  <c r="J14" i="49"/>
  <c r="C43" i="18"/>
  <c r="C44" i="18"/>
  <c r="C65" i="18"/>
  <c r="C64" i="18"/>
  <c r="C63" i="18"/>
  <c r="E54" i="33"/>
  <c r="J67" i="33"/>
  <c r="J68" i="33"/>
  <c r="C8" i="43"/>
  <c r="G22" i="46"/>
  <c r="G21" i="46"/>
  <c r="G20" i="46"/>
  <c r="F22" i="46"/>
  <c r="F21" i="46"/>
  <c r="F20" i="46"/>
  <c r="E22" i="46"/>
  <c r="G24" i="46"/>
  <c r="G23" i="46"/>
  <c r="F24" i="46"/>
  <c r="F23" i="46"/>
  <c r="G18" i="46"/>
  <c r="F18" i="46"/>
  <c r="E18" i="46"/>
  <c r="G17" i="46"/>
  <c r="F17" i="46"/>
  <c r="E17" i="46"/>
  <c r="G16" i="46"/>
  <c r="F16" i="46"/>
  <c r="E16" i="46"/>
  <c r="G15" i="46"/>
  <c r="F15" i="46"/>
  <c r="E15" i="46"/>
  <c r="D55" i="18"/>
  <c r="D54" i="18"/>
  <c r="D53" i="18"/>
  <c r="D52" i="18"/>
  <c r="D72" i="18"/>
  <c r="D71" i="18"/>
  <c r="D70" i="18"/>
  <c r="D69" i="18"/>
  <c r="E47" i="18"/>
  <c r="E46" i="18"/>
  <c r="E63" i="18"/>
  <c r="E64" i="18"/>
  <c r="D47" i="18"/>
  <c r="D46" i="18"/>
  <c r="D64" i="18"/>
  <c r="D63" i="18"/>
  <c r="D62" i="18"/>
  <c r="D45" i="18"/>
  <c r="F65" i="18"/>
  <c r="F64" i="18"/>
  <c r="F63" i="18"/>
  <c r="F61" i="18"/>
  <c r="F60" i="18"/>
  <c r="F48" i="18"/>
  <c r="F47" i="18"/>
  <c r="F46" i="18"/>
  <c r="F44" i="18"/>
  <c r="F43" i="18"/>
  <c r="F30" i="18"/>
  <c r="F31" i="18"/>
  <c r="F54" i="13"/>
  <c r="D83" i="13"/>
  <c r="F56" i="13"/>
  <c r="F57" i="13"/>
  <c r="D86" i="13"/>
  <c r="F86" i="13" s="1"/>
  <c r="F59" i="13"/>
  <c r="F31" i="13"/>
  <c r="F30" i="13"/>
  <c r="F29" i="13"/>
  <c r="F26" i="13"/>
  <c r="F27" i="18" s="1"/>
  <c r="F25" i="13"/>
  <c r="F26" i="18" s="1"/>
  <c r="F28" i="13"/>
  <c r="F27" i="13"/>
  <c r="J58" i="18"/>
  <c r="J41" i="18"/>
  <c r="J24" i="18"/>
  <c r="F58" i="18"/>
  <c r="F41" i="18"/>
  <c r="D87" i="13" l="1"/>
  <c r="F87" i="13" s="1"/>
  <c r="F58" i="13"/>
  <c r="F56" i="18"/>
  <c r="D85" i="13"/>
  <c r="F85" i="13" s="1"/>
  <c r="D84" i="13"/>
  <c r="F84" i="13" s="1"/>
  <c r="D82" i="13"/>
  <c r="F82" i="13" s="1"/>
  <c r="F73" i="18"/>
  <c r="F83" i="13"/>
  <c r="F55" i="13"/>
  <c r="D38" i="18"/>
  <c r="D36" i="18"/>
  <c r="D37" i="18"/>
  <c r="D35" i="18"/>
  <c r="D30" i="18"/>
  <c r="D28" i="18"/>
  <c r="F39" i="18" s="1"/>
  <c r="Y14" i="47" l="1"/>
  <c r="Y15" i="47"/>
  <c r="Y16" i="47"/>
  <c r="Y17" i="47"/>
  <c r="Y18" i="47"/>
  <c r="Y19" i="47"/>
  <c r="Y20" i="47"/>
  <c r="Y21" i="47"/>
  <c r="Y22" i="47"/>
  <c r="Y23" i="47"/>
  <c r="Y24" i="47"/>
  <c r="G26" i="47"/>
  <c r="G40" i="47"/>
  <c r="G54" i="47"/>
  <c r="Y13" i="47"/>
  <c r="S25" i="47"/>
  <c r="X25" i="47" s="1"/>
  <c r="AA25" i="47" s="1"/>
  <c r="S14" i="47"/>
  <c r="X14" i="47" s="1"/>
  <c r="AA14" i="47" s="1"/>
  <c r="S15" i="47"/>
  <c r="X15" i="47" s="1"/>
  <c r="S16" i="47"/>
  <c r="X16" i="47" s="1"/>
  <c r="S17" i="47"/>
  <c r="X17" i="47" s="1"/>
  <c r="S18" i="47"/>
  <c r="X18" i="47" s="1"/>
  <c r="S19" i="47"/>
  <c r="X19" i="47" s="1"/>
  <c r="AA19" i="47" s="1"/>
  <c r="S20" i="47"/>
  <c r="X20" i="47" s="1"/>
  <c r="S21" i="47"/>
  <c r="X21" i="47" s="1"/>
  <c r="S22" i="47"/>
  <c r="S23" i="47"/>
  <c r="X23" i="47" s="1"/>
  <c r="AA23" i="47" s="1"/>
  <c r="S24" i="47"/>
  <c r="X24" i="47" s="1"/>
  <c r="O26" i="47"/>
  <c r="S13" i="47"/>
  <c r="X13" i="47" s="1"/>
  <c r="Q40" i="47"/>
  <c r="Q54" i="47"/>
  <c r="AA17" i="47" l="1"/>
  <c r="AK24" i="47"/>
  <c r="AA24" i="47"/>
  <c r="AK16" i="47"/>
  <c r="AA16" i="47"/>
  <c r="AK20" i="47"/>
  <c r="AA20" i="47"/>
  <c r="AK19" i="47"/>
  <c r="AK13" i="47"/>
  <c r="AA13" i="47"/>
  <c r="AK18" i="47"/>
  <c r="AA18" i="47"/>
  <c r="AK17" i="47"/>
  <c r="AK25" i="47"/>
  <c r="AK15" i="47"/>
  <c r="X22" i="47"/>
  <c r="AA22" i="47" s="1"/>
  <c r="AK23" i="47"/>
  <c r="AK14" i="47"/>
  <c r="AK21" i="47"/>
  <c r="D17" i="49"/>
  <c r="E22" i="43" s="1"/>
  <c r="X26" i="47" l="1"/>
  <c r="AK22" i="47"/>
  <c r="E43" i="33"/>
  <c r="C5" i="43"/>
  <c r="D4" i="20"/>
  <c r="D4" i="47"/>
  <c r="F27" i="50" l="1"/>
  <c r="G32" i="50"/>
  <c r="F26" i="50"/>
  <c r="G13" i="50"/>
  <c r="F32" i="50"/>
  <c r="G28" i="50"/>
  <c r="G8" i="50"/>
  <c r="F25" i="50"/>
  <c r="F6" i="50"/>
  <c r="F23" i="50"/>
  <c r="F21" i="50"/>
  <c r="G24" i="50"/>
  <c r="F7" i="50"/>
  <c r="F5" i="50"/>
  <c r="F22" i="50"/>
  <c r="I87" i="13"/>
  <c r="I83" i="13"/>
  <c r="I58" i="13"/>
  <c r="I54" i="13"/>
  <c r="I29" i="13"/>
  <c r="I25" i="13"/>
  <c r="J73" i="18"/>
  <c r="H72" i="18"/>
  <c r="I64" i="18"/>
  <c r="J60" i="18"/>
  <c r="H54" i="18"/>
  <c r="G45" i="18"/>
  <c r="G47" i="18"/>
  <c r="H36" i="18"/>
  <c r="H28" i="18"/>
  <c r="H87" i="13"/>
  <c r="H83" i="13"/>
  <c r="H58" i="13"/>
  <c r="H54" i="13"/>
  <c r="H29" i="13"/>
  <c r="H25" i="13"/>
  <c r="H69" i="18"/>
  <c r="J62" i="18"/>
  <c r="J64" i="18"/>
  <c r="G60" i="18"/>
  <c r="G55" i="18"/>
  <c r="H45" i="18"/>
  <c r="H47" i="18"/>
  <c r="H35" i="18"/>
  <c r="I81" i="13"/>
  <c r="I56" i="13"/>
  <c r="I27" i="13"/>
  <c r="H70" i="18"/>
  <c r="G46" i="18"/>
  <c r="J39" i="18"/>
  <c r="H64" i="18"/>
  <c r="J46" i="18"/>
  <c r="H37" i="18"/>
  <c r="I86" i="13"/>
  <c r="I82" i="13"/>
  <c r="I57" i="13"/>
  <c r="I53" i="13"/>
  <c r="I28" i="13"/>
  <c r="G69" i="18"/>
  <c r="G63" i="18"/>
  <c r="G65" i="18"/>
  <c r="J56" i="18"/>
  <c r="H55" i="18"/>
  <c r="I47" i="18"/>
  <c r="J43" i="18"/>
  <c r="J31" i="18"/>
  <c r="H86" i="13"/>
  <c r="H82" i="13"/>
  <c r="H57" i="13"/>
  <c r="H53" i="13"/>
  <c r="H28" i="13"/>
  <c r="G70" i="18"/>
  <c r="G61" i="18"/>
  <c r="H63" i="18"/>
  <c r="H52" i="18"/>
  <c r="J45" i="18"/>
  <c r="J47" i="18"/>
  <c r="G43" i="18"/>
  <c r="J30" i="18"/>
  <c r="I85" i="13"/>
  <c r="I31" i="13"/>
  <c r="I63" i="18"/>
  <c r="G52" i="18"/>
  <c r="G48" i="18"/>
  <c r="J29" i="18"/>
  <c r="G72" i="18"/>
  <c r="J44" i="18"/>
  <c r="J48" i="18"/>
  <c r="H85" i="13"/>
  <c r="H56" i="13"/>
  <c r="H31" i="13"/>
  <c r="H27" i="13"/>
  <c r="G71" i="18"/>
  <c r="J61" i="18"/>
  <c r="J63" i="18"/>
  <c r="J65" i="18"/>
  <c r="G53" i="18"/>
  <c r="G44" i="18"/>
  <c r="H46" i="18"/>
  <c r="J28" i="18"/>
  <c r="I84" i="13"/>
  <c r="I59" i="13"/>
  <c r="I55" i="13"/>
  <c r="I30" i="13"/>
  <c r="I26" i="13"/>
  <c r="H71" i="18"/>
  <c r="G62" i="18"/>
  <c r="G64" i="18"/>
  <c r="H53" i="18"/>
  <c r="I46" i="18"/>
  <c r="H38" i="18"/>
  <c r="J27" i="18"/>
  <c r="H84" i="13"/>
  <c r="H59" i="13"/>
  <c r="H55" i="13"/>
  <c r="H30" i="13"/>
  <c r="H26" i="13"/>
  <c r="H62" i="18"/>
  <c r="G54" i="18"/>
  <c r="J26" i="18"/>
  <c r="D6" i="46"/>
  <c r="E51" i="33"/>
  <c r="C7" i="46" s="1"/>
  <c r="E44" i="33"/>
  <c r="W4" i="47"/>
  <c r="E6" i="49"/>
  <c r="E45" i="33"/>
  <c r="E49" i="33"/>
  <c r="D49" i="33"/>
  <c r="E50" i="33"/>
  <c r="C7" i="43"/>
  <c r="AK42" i="47"/>
  <c r="AK43" i="47"/>
  <c r="AK44" i="47"/>
  <c r="AK45" i="47"/>
  <c r="AK46" i="47"/>
  <c r="AK47" i="47"/>
  <c r="AK48" i="47"/>
  <c r="AK49" i="47"/>
  <c r="AK50" i="47"/>
  <c r="AK51" i="47"/>
  <c r="AK52" i="47"/>
  <c r="AK53" i="47"/>
  <c r="AK41" i="47"/>
  <c r="AK28" i="47"/>
  <c r="AK29" i="47"/>
  <c r="AK30" i="47"/>
  <c r="AK31" i="47"/>
  <c r="AK32" i="47"/>
  <c r="AK33" i="47"/>
  <c r="AK34" i="47"/>
  <c r="AK35" i="47"/>
  <c r="AK36" i="47"/>
  <c r="AK37" i="47"/>
  <c r="AK38" i="47"/>
  <c r="AK39" i="47"/>
  <c r="AK27" i="47"/>
  <c r="D4" i="13"/>
  <c r="J13" i="49" l="1"/>
  <c r="G22" i="43" s="1"/>
  <c r="F15" i="50"/>
  <c r="E52" i="33"/>
  <c r="E61" i="33"/>
  <c r="E62" i="33"/>
  <c r="AK54" i="47"/>
  <c r="AK40" i="47"/>
  <c r="E53" i="33"/>
  <c r="C6" i="43"/>
  <c r="G28" i="46" l="1"/>
  <c r="D65" i="18"/>
  <c r="D48" i="18"/>
  <c r="F28" i="46"/>
  <c r="F20" i="50"/>
  <c r="F20" i="43"/>
  <c r="E63" i="33"/>
  <c r="AR42" i="47"/>
  <c r="AR43" i="47"/>
  <c r="AR44" i="47"/>
  <c r="AR45" i="47"/>
  <c r="AR46" i="47"/>
  <c r="AR47" i="47"/>
  <c r="AR48" i="47"/>
  <c r="AR49" i="47"/>
  <c r="AR50" i="47"/>
  <c r="AR51" i="47"/>
  <c r="AR52" i="47"/>
  <c r="AR53" i="47"/>
  <c r="AR41" i="47"/>
  <c r="AR28" i="47"/>
  <c r="AR29" i="47"/>
  <c r="AR30" i="47"/>
  <c r="AR31" i="47"/>
  <c r="AR32" i="47"/>
  <c r="AR33" i="47"/>
  <c r="AR34" i="47"/>
  <c r="AR35" i="47"/>
  <c r="AR36" i="47"/>
  <c r="AR37" i="47"/>
  <c r="AR38" i="47"/>
  <c r="AR39" i="47"/>
  <c r="AR27" i="47"/>
  <c r="AR14" i="47"/>
  <c r="AR15" i="47"/>
  <c r="AR16" i="47"/>
  <c r="AR17" i="47"/>
  <c r="AR18" i="47"/>
  <c r="AR19" i="47"/>
  <c r="AR20" i="47"/>
  <c r="AR21" i="47"/>
  <c r="AR22" i="47"/>
  <c r="AR23" i="47"/>
  <c r="AR24" i="47"/>
  <c r="AR25" i="47"/>
  <c r="AR13" i="47"/>
  <c r="AQ42" i="47"/>
  <c r="AQ43" i="47"/>
  <c r="AQ44" i="47"/>
  <c r="AQ45" i="47"/>
  <c r="AQ46" i="47"/>
  <c r="AQ47" i="47"/>
  <c r="AQ48" i="47"/>
  <c r="AQ49" i="47"/>
  <c r="AQ50" i="47"/>
  <c r="AQ51" i="47"/>
  <c r="AQ52" i="47"/>
  <c r="AQ53" i="47"/>
  <c r="AQ41" i="47"/>
  <c r="AQ28" i="47"/>
  <c r="AQ29" i="47"/>
  <c r="AQ30" i="47"/>
  <c r="AQ31" i="47"/>
  <c r="AQ32" i="47"/>
  <c r="AQ33" i="47"/>
  <c r="AQ34" i="47"/>
  <c r="AQ35" i="47"/>
  <c r="AQ36" i="47"/>
  <c r="AQ37" i="47"/>
  <c r="AQ38" i="47"/>
  <c r="AQ39" i="47"/>
  <c r="AQ27" i="47"/>
  <c r="AQ14" i="47"/>
  <c r="AQ15" i="47"/>
  <c r="AQ16" i="47"/>
  <c r="AQ17" i="47"/>
  <c r="AQ18" i="47"/>
  <c r="AQ19" i="47"/>
  <c r="AQ20" i="47"/>
  <c r="AQ21" i="47"/>
  <c r="AQ22" i="47"/>
  <c r="AQ23" i="47"/>
  <c r="AQ24" i="47"/>
  <c r="AQ25" i="47"/>
  <c r="AQ13" i="47"/>
  <c r="AO26" i="47"/>
  <c r="AO40" i="47"/>
  <c r="AO54" i="47"/>
  <c r="W3" i="47"/>
  <c r="E65" i="18" l="1"/>
  <c r="I65" i="18" s="1"/>
  <c r="H65" i="18"/>
  <c r="E48" i="18"/>
  <c r="I48" i="18" s="1"/>
  <c r="H48" i="18"/>
  <c r="F29" i="50"/>
  <c r="F21" i="43" s="1"/>
  <c r="AR54" i="47"/>
  <c r="AQ54" i="47"/>
  <c r="AR40" i="47"/>
  <c r="AR26" i="47"/>
  <c r="D29" i="18" s="1"/>
  <c r="H29" i="18" s="1"/>
  <c r="AQ40" i="47"/>
  <c r="AQ26" i="47"/>
  <c r="AE6" i="47"/>
  <c r="AE7" i="47"/>
  <c r="AE5" i="47"/>
  <c r="AI28" i="47" l="1"/>
  <c r="AI29" i="47"/>
  <c r="AI30" i="47"/>
  <c r="AI31" i="47"/>
  <c r="AI32" i="47"/>
  <c r="AI33" i="47"/>
  <c r="AI34" i="47"/>
  <c r="AI35" i="47"/>
  <c r="AI36" i="47"/>
  <c r="AI37" i="47"/>
  <c r="AI38" i="47"/>
  <c r="AI39" i="47"/>
  <c r="AI41" i="47"/>
  <c r="AI42" i="47"/>
  <c r="AI43" i="47"/>
  <c r="AI44" i="47"/>
  <c r="AI45" i="47"/>
  <c r="AI46" i="47"/>
  <c r="AI47" i="47"/>
  <c r="AI48" i="47"/>
  <c r="AI49" i="47"/>
  <c r="AI50" i="47"/>
  <c r="AI51" i="47"/>
  <c r="AI52" i="47"/>
  <c r="AI53" i="47"/>
  <c r="AI27" i="47"/>
  <c r="AI14" i="47"/>
  <c r="AI15" i="47"/>
  <c r="AI16" i="47"/>
  <c r="AI17" i="47"/>
  <c r="AI18" i="47"/>
  <c r="AI19" i="47"/>
  <c r="AI20" i="47"/>
  <c r="AI21" i="47"/>
  <c r="AI22" i="47"/>
  <c r="AI23" i="47"/>
  <c r="AI24" i="47"/>
  <c r="AI25" i="47"/>
  <c r="Y42" i="47"/>
  <c r="Z42" i="47"/>
  <c r="Y43" i="47"/>
  <c r="Z43" i="47"/>
  <c r="Y44" i="47"/>
  <c r="Z44" i="47"/>
  <c r="Y45" i="47"/>
  <c r="Z45" i="47"/>
  <c r="Y46" i="47"/>
  <c r="Z46" i="47"/>
  <c r="Y47" i="47"/>
  <c r="Z47" i="47"/>
  <c r="Y48" i="47"/>
  <c r="Z48" i="47"/>
  <c r="Y49" i="47"/>
  <c r="Z49" i="47"/>
  <c r="Y50" i="47"/>
  <c r="Z50" i="47"/>
  <c r="Y51" i="47"/>
  <c r="Z51" i="47"/>
  <c r="Y52" i="47"/>
  <c r="Z52" i="47"/>
  <c r="Y53" i="47"/>
  <c r="Z53" i="47"/>
  <c r="Z41" i="47"/>
  <c r="Y41" i="47"/>
  <c r="Y28" i="47"/>
  <c r="Z28" i="47"/>
  <c r="Y29" i="47"/>
  <c r="Z29" i="47"/>
  <c r="Y30" i="47"/>
  <c r="Z30" i="47"/>
  <c r="Y31" i="47"/>
  <c r="Z31" i="47"/>
  <c r="Y32" i="47"/>
  <c r="Z32" i="47"/>
  <c r="Y33" i="47"/>
  <c r="Z33" i="47"/>
  <c r="Y34" i="47"/>
  <c r="Z34" i="47"/>
  <c r="Y35" i="47"/>
  <c r="Z35" i="47"/>
  <c r="Y36" i="47"/>
  <c r="Z36" i="47"/>
  <c r="Y37" i="47"/>
  <c r="Z37" i="47"/>
  <c r="Y38" i="47"/>
  <c r="Z38" i="47"/>
  <c r="Y39" i="47"/>
  <c r="Z39" i="47"/>
  <c r="Z27" i="47"/>
  <c r="Y27" i="47"/>
  <c r="Z13" i="47"/>
  <c r="Z14" i="47"/>
  <c r="Z15" i="47"/>
  <c r="Z16" i="47"/>
  <c r="Z17" i="47"/>
  <c r="Z18" i="47"/>
  <c r="Z19" i="47"/>
  <c r="Z20" i="47"/>
  <c r="Z21" i="47"/>
  <c r="Z22" i="47"/>
  <c r="Z23" i="47"/>
  <c r="Z24" i="47"/>
  <c r="Z25" i="47"/>
  <c r="Y25" i="47"/>
  <c r="C54" i="47"/>
  <c r="D54" i="47"/>
  <c r="E54" i="47"/>
  <c r="F54" i="47"/>
  <c r="H54" i="47"/>
  <c r="I54" i="47"/>
  <c r="J54" i="47"/>
  <c r="K54" i="47"/>
  <c r="L54" i="47"/>
  <c r="X54" i="47"/>
  <c r="M54" i="47"/>
  <c r="N54" i="47"/>
  <c r="O54" i="47"/>
  <c r="P54" i="47"/>
  <c r="R54" i="47"/>
  <c r="S54" i="47"/>
  <c r="G19" i="46" s="1"/>
  <c r="T54" i="47"/>
  <c r="U54" i="47"/>
  <c r="V54" i="47"/>
  <c r="R40" i="47"/>
  <c r="S40" i="47"/>
  <c r="F19" i="46" s="1"/>
  <c r="T40" i="47"/>
  <c r="U40" i="47"/>
  <c r="V40" i="47"/>
  <c r="L40" i="47"/>
  <c r="X40" i="47"/>
  <c r="M40" i="47"/>
  <c r="N40" i="47"/>
  <c r="O40" i="47"/>
  <c r="P40" i="47"/>
  <c r="C40" i="47"/>
  <c r="D40" i="47"/>
  <c r="E40" i="47"/>
  <c r="F40" i="47"/>
  <c r="H40" i="47"/>
  <c r="I40" i="47"/>
  <c r="J40" i="47"/>
  <c r="H26" i="47"/>
  <c r="I26" i="47"/>
  <c r="J26" i="47"/>
  <c r="K26" i="47"/>
  <c r="L26" i="47"/>
  <c r="C26" i="47"/>
  <c r="D26" i="47"/>
  <c r="E26" i="47"/>
  <c r="F26" i="47"/>
  <c r="N26" i="47"/>
  <c r="P26" i="47"/>
  <c r="R26" i="47"/>
  <c r="T26" i="47"/>
  <c r="U26" i="47"/>
  <c r="V26" i="47"/>
  <c r="W42" i="47"/>
  <c r="W43" i="47"/>
  <c r="W44" i="47"/>
  <c r="W45" i="47"/>
  <c r="W46" i="47"/>
  <c r="W47" i="47"/>
  <c r="W48" i="47"/>
  <c r="W49" i="47"/>
  <c r="W50" i="47"/>
  <c r="W51" i="47"/>
  <c r="W52" i="47"/>
  <c r="W53" i="47"/>
  <c r="W41" i="47"/>
  <c r="W28" i="47"/>
  <c r="W29" i="47"/>
  <c r="W30" i="47"/>
  <c r="W31" i="47"/>
  <c r="W32" i="47"/>
  <c r="W33" i="47"/>
  <c r="W34" i="47"/>
  <c r="W35" i="47"/>
  <c r="W36" i="47"/>
  <c r="W37" i="47"/>
  <c r="W38" i="47"/>
  <c r="W39" i="47"/>
  <c r="W27" i="47"/>
  <c r="W14" i="47"/>
  <c r="W15" i="47"/>
  <c r="AA15" i="47" s="1"/>
  <c r="W16" i="47"/>
  <c r="W17" i="47"/>
  <c r="W18" i="47"/>
  <c r="W19" i="47"/>
  <c r="AA21" i="47"/>
  <c r="W22" i="47"/>
  <c r="W23" i="47"/>
  <c r="W24" i="47"/>
  <c r="W25" i="47"/>
  <c r="W13" i="47"/>
  <c r="N9" i="46"/>
  <c r="O9" i="46"/>
  <c r="AE42" i="47"/>
  <c r="AE43" i="47"/>
  <c r="AE44" i="47"/>
  <c r="AE45" i="47"/>
  <c r="AE46" i="47"/>
  <c r="AE47" i="47"/>
  <c r="AE48" i="47"/>
  <c r="AE49" i="47"/>
  <c r="AE50" i="47"/>
  <c r="AE51" i="47"/>
  <c r="AE52" i="47"/>
  <c r="AE53" i="47"/>
  <c r="AE41" i="47"/>
  <c r="AE28" i="47"/>
  <c r="AE29" i="47"/>
  <c r="AE30" i="47"/>
  <c r="AE31" i="47"/>
  <c r="AE32" i="47"/>
  <c r="AE33" i="47"/>
  <c r="AE34" i="47"/>
  <c r="AE35" i="47"/>
  <c r="AE36" i="47"/>
  <c r="AE37" i="47"/>
  <c r="AE38" i="47"/>
  <c r="AE39" i="47"/>
  <c r="AE27" i="47"/>
  <c r="AL26" i="47"/>
  <c r="AA47" i="47" l="1"/>
  <c r="AC47" i="47" s="1"/>
  <c r="AA28" i="47"/>
  <c r="AA43" i="47"/>
  <c r="AA51" i="47"/>
  <c r="AA36" i="47"/>
  <c r="AA27" i="47"/>
  <c r="AA32" i="47"/>
  <c r="AC32" i="47" s="1"/>
  <c r="Z26" i="47"/>
  <c r="AA38" i="47"/>
  <c r="AA30" i="47"/>
  <c r="AA49" i="47"/>
  <c r="AI40" i="47"/>
  <c r="AI54" i="47"/>
  <c r="AA37" i="47"/>
  <c r="AA29" i="47"/>
  <c r="AA41" i="47"/>
  <c r="AA46" i="47"/>
  <c r="AC46" i="47" s="1"/>
  <c r="AA33" i="47"/>
  <c r="AC33" i="47" s="1"/>
  <c r="AA52" i="47"/>
  <c r="AA44" i="47"/>
  <c r="Z54" i="47"/>
  <c r="Z40" i="47"/>
  <c r="Y40" i="47"/>
  <c r="AA50" i="47"/>
  <c r="AA42" i="47"/>
  <c r="Y54" i="47"/>
  <c r="AA35" i="47"/>
  <c r="AC35" i="47" s="1"/>
  <c r="AA34" i="47"/>
  <c r="AC34" i="47" s="1"/>
  <c r="AA39" i="47"/>
  <c r="AC39" i="47" s="1"/>
  <c r="AA31" i="47"/>
  <c r="AC31" i="47" s="1"/>
  <c r="AC25" i="47"/>
  <c r="Y26" i="47"/>
  <c r="W26" i="47"/>
  <c r="N13" i="50" s="1"/>
  <c r="W54" i="47"/>
  <c r="W40" i="47"/>
  <c r="AA48" i="47"/>
  <c r="AC48" i="47" s="1"/>
  <c r="AA53" i="47"/>
  <c r="AC53" i="47" s="1"/>
  <c r="AA45" i="47"/>
  <c r="AC45" i="47" s="1"/>
  <c r="AC49" i="47"/>
  <c r="D61" i="18" l="1"/>
  <c r="H61" i="18" s="1"/>
  <c r="AI7" i="47"/>
  <c r="D44" i="18"/>
  <c r="H44" i="18" s="1"/>
  <c r="AI6" i="47"/>
  <c r="AA40" i="47"/>
  <c r="AA26" i="47"/>
  <c r="D26" i="18" s="1"/>
  <c r="H26" i="18" s="1"/>
  <c r="AA54" i="47"/>
  <c r="G12" i="46" l="1"/>
  <c r="G14" i="46"/>
  <c r="D60" i="18"/>
  <c r="H60" i="18" s="1"/>
  <c r="G11" i="46"/>
  <c r="G13" i="46"/>
  <c r="F11" i="46"/>
  <c r="F13" i="46"/>
  <c r="D43" i="18"/>
  <c r="H43" i="18" s="1"/>
  <c r="F12" i="46"/>
  <c r="F14" i="46"/>
  <c r="F47" i="37"/>
  <c r="F48" i="37"/>
  <c r="F49" i="37"/>
  <c r="F50" i="37"/>
  <c r="F46" i="37"/>
  <c r="F55" i="37" s="1"/>
  <c r="F70" i="37" s="1"/>
  <c r="C46" i="37"/>
  <c r="C55" i="37" s="1"/>
  <c r="C70" i="37" s="1"/>
  <c r="T8" i="47"/>
  <c r="T7" i="47"/>
  <c r="T6" i="47"/>
  <c r="T5" i="47"/>
  <c r="T4" i="47"/>
  <c r="AC21" i="47" s="1"/>
  <c r="T3" i="47"/>
  <c r="AC17" i="47" l="1"/>
  <c r="AC18" i="47"/>
  <c r="AC19" i="47"/>
  <c r="AC20" i="47"/>
  <c r="AC13" i="47"/>
  <c r="AC15" i="47"/>
  <c r="AC16" i="47"/>
  <c r="AC22" i="47"/>
  <c r="AC14" i="47"/>
  <c r="AC24" i="47"/>
  <c r="AC23" i="47"/>
  <c r="AC27" i="47"/>
  <c r="AC38" i="47"/>
  <c r="AC30" i="47"/>
  <c r="AC29" i="47"/>
  <c r="AC28" i="47"/>
  <c r="AC37" i="47"/>
  <c r="AC36" i="47"/>
  <c r="AC41" i="47"/>
  <c r="AC52" i="47"/>
  <c r="AC50" i="47"/>
  <c r="AC42" i="47"/>
  <c r="AC51" i="47"/>
  <c r="AC44" i="47"/>
  <c r="AC43" i="47"/>
  <c r="AN54" i="47" l="1"/>
  <c r="AM54" i="47"/>
  <c r="AL54" i="47"/>
  <c r="AJ54" i="47"/>
  <c r="AN40" i="47"/>
  <c r="AM40" i="47"/>
  <c r="AL40" i="47"/>
  <c r="AJ40" i="47"/>
  <c r="AN26" i="47"/>
  <c r="AM26" i="47"/>
  <c r="AJ26" i="47"/>
  <c r="AX54" i="47"/>
  <c r="AW54" i="47"/>
  <c r="AV54" i="47"/>
  <c r="AS54" i="47"/>
  <c r="AP54" i="47"/>
  <c r="AU53" i="47"/>
  <c r="AT53" i="47"/>
  <c r="AU52" i="47"/>
  <c r="AT52" i="47"/>
  <c r="AU51" i="47"/>
  <c r="AT51" i="47"/>
  <c r="AU50" i="47"/>
  <c r="AT50" i="47"/>
  <c r="AU49" i="47"/>
  <c r="AT49" i="47"/>
  <c r="AU48" i="47"/>
  <c r="AT48" i="47"/>
  <c r="AU47" i="47"/>
  <c r="AT47" i="47"/>
  <c r="AU46" i="47"/>
  <c r="AT46" i="47"/>
  <c r="AU45" i="47"/>
  <c r="AT45" i="47"/>
  <c r="AU44" i="47"/>
  <c r="AT44" i="47"/>
  <c r="AU43" i="47"/>
  <c r="AT43" i="47"/>
  <c r="AU42" i="47"/>
  <c r="AT42" i="47"/>
  <c r="AU41" i="47"/>
  <c r="AT41" i="47"/>
  <c r="AX40" i="47"/>
  <c r="AW40" i="47"/>
  <c r="AV40" i="47"/>
  <c r="AS40" i="47"/>
  <c r="AP40" i="47"/>
  <c r="AU39" i="47"/>
  <c r="AT39" i="47"/>
  <c r="AU38" i="47"/>
  <c r="AT38" i="47"/>
  <c r="AU37" i="47"/>
  <c r="AT37" i="47"/>
  <c r="AU36" i="47"/>
  <c r="AT36" i="47"/>
  <c r="AU35" i="47"/>
  <c r="AT35" i="47"/>
  <c r="AU34" i="47"/>
  <c r="AT34" i="47"/>
  <c r="AU33" i="47"/>
  <c r="AT33" i="47"/>
  <c r="AU32" i="47"/>
  <c r="AT32" i="47"/>
  <c r="AU31" i="47"/>
  <c r="AT31" i="47"/>
  <c r="AU30" i="47"/>
  <c r="AT30" i="47"/>
  <c r="AU29" i="47"/>
  <c r="AT29" i="47"/>
  <c r="AU28" i="47"/>
  <c r="AT28" i="47"/>
  <c r="AU27" i="47"/>
  <c r="AT27" i="47"/>
  <c r="AX26" i="47"/>
  <c r="AW26" i="47"/>
  <c r="AV26" i="47"/>
  <c r="AS26" i="47"/>
  <c r="AP26" i="47"/>
  <c r="AU25" i="47"/>
  <c r="AT25" i="47"/>
  <c r="AU24" i="47"/>
  <c r="AT24" i="47"/>
  <c r="AU23" i="47"/>
  <c r="AT23" i="47"/>
  <c r="AU22" i="47"/>
  <c r="AT22" i="47"/>
  <c r="AU21" i="47"/>
  <c r="AT21" i="47"/>
  <c r="AU20" i="47"/>
  <c r="AT20" i="47"/>
  <c r="AU19" i="47"/>
  <c r="AT19" i="47"/>
  <c r="AU18" i="47"/>
  <c r="AT18" i="47"/>
  <c r="AU17" i="47"/>
  <c r="AT17" i="47"/>
  <c r="AU16" i="47"/>
  <c r="AT16" i="47"/>
  <c r="AU15" i="47"/>
  <c r="AT15" i="47"/>
  <c r="AU14" i="47"/>
  <c r="AT14" i="47"/>
  <c r="AU13" i="47"/>
  <c r="AT13" i="47"/>
  <c r="AU26" i="47" l="1"/>
  <c r="AT26" i="47"/>
  <c r="AT54" i="47"/>
  <c r="AT40" i="47"/>
  <c r="AU40" i="47"/>
  <c r="AU54" i="47"/>
  <c r="AH26" i="47"/>
  <c r="AH40" i="47"/>
  <c r="AH54" i="47"/>
  <c r="E24" i="46" l="1"/>
  <c r="G27" i="50" s="1"/>
  <c r="E30" i="18"/>
  <c r="I30" i="18" s="1"/>
  <c r="E23" i="46"/>
  <c r="G26" i="50" s="1"/>
  <c r="E29" i="18"/>
  <c r="I29" i="18" s="1"/>
  <c r="AG54" i="47"/>
  <c r="AF54" i="47"/>
  <c r="AD54" i="47"/>
  <c r="B54" i="47"/>
  <c r="AG40" i="47"/>
  <c r="AF40" i="47"/>
  <c r="AD40" i="47"/>
  <c r="K40" i="47"/>
  <c r="B40" i="47"/>
  <c r="AG26" i="47"/>
  <c r="AF26" i="47"/>
  <c r="AD26" i="47"/>
  <c r="M26" i="47"/>
  <c r="B26" i="47"/>
  <c r="K9" i="46"/>
  <c r="L9" i="46"/>
  <c r="M9" i="46"/>
  <c r="C32" i="46"/>
  <c r="D32" i="46"/>
  <c r="AB24" i="47" l="1"/>
  <c r="AE24" i="47" s="1"/>
  <c r="AB27" i="47"/>
  <c r="AB16" i="47"/>
  <c r="AE16" i="47" s="1"/>
  <c r="AB47" i="47"/>
  <c r="AB39" i="47"/>
  <c r="AB41" i="47"/>
  <c r="AB32" i="47"/>
  <c r="AB46" i="47"/>
  <c r="AE40" i="47"/>
  <c r="E43" i="18" s="1"/>
  <c r="I43" i="18" s="1"/>
  <c r="AE54" i="47"/>
  <c r="E60" i="18" s="1"/>
  <c r="I60" i="18" s="1"/>
  <c r="AB13" i="47" l="1"/>
  <c r="AE13" i="47" s="1"/>
  <c r="AB49" i="47"/>
  <c r="AB36" i="47"/>
  <c r="AB18" i="47"/>
  <c r="AE18" i="47" s="1"/>
  <c r="AB14" i="47"/>
  <c r="AE14" i="47" s="1"/>
  <c r="AB48" i="47"/>
  <c r="AB28" i="47"/>
  <c r="AB42" i="47"/>
  <c r="AB52" i="47"/>
  <c r="AB45" i="47"/>
  <c r="AB51" i="47"/>
  <c r="AB33" i="47"/>
  <c r="AB29" i="47"/>
  <c r="AB53" i="47"/>
  <c r="AB38" i="47"/>
  <c r="AB50" i="47"/>
  <c r="AB15" i="47"/>
  <c r="AE15" i="47" s="1"/>
  <c r="AB43" i="47"/>
  <c r="AB25" i="47"/>
  <c r="AE25" i="47" s="1"/>
  <c r="AB44" i="47"/>
  <c r="AB37" i="47"/>
  <c r="AB34" i="47"/>
  <c r="AB35" i="47"/>
  <c r="AB17" i="47"/>
  <c r="AE17" i="47" s="1"/>
  <c r="AB21" i="47"/>
  <c r="AE21" i="47" s="1"/>
  <c r="AB30" i="47"/>
  <c r="AB31" i="47"/>
  <c r="AB20" i="47"/>
  <c r="AE20" i="47" s="1"/>
  <c r="AB19" i="47"/>
  <c r="AE19" i="47" s="1"/>
  <c r="AB22" i="47"/>
  <c r="AE22" i="47" s="1"/>
  <c r="AB23" i="47"/>
  <c r="AE23" i="47" s="1"/>
  <c r="AC26" i="47" l="1"/>
  <c r="AC40" i="47"/>
  <c r="AC54" i="47"/>
  <c r="AB40" i="47"/>
  <c r="AB54" i="47"/>
  <c r="AB26" i="47"/>
  <c r="AE26" i="47" l="1"/>
  <c r="E26" i="18" l="1"/>
  <c r="I26" i="18" s="1"/>
  <c r="E13" i="46"/>
  <c r="E14" i="46"/>
  <c r="E12" i="46"/>
  <c r="G5" i="50" s="1"/>
  <c r="E11" i="46"/>
  <c r="H26" i="37"/>
  <c r="E26" i="37"/>
  <c r="H25" i="37"/>
  <c r="E25" i="37"/>
  <c r="H24" i="37"/>
  <c r="E24" i="37"/>
  <c r="H23" i="37"/>
  <c r="E23" i="37"/>
  <c r="H22" i="37"/>
  <c r="E22" i="37"/>
  <c r="H21" i="37"/>
  <c r="E21" i="37"/>
  <c r="H20" i="37"/>
  <c r="E20" i="37"/>
  <c r="H19" i="37"/>
  <c r="G19" i="37"/>
  <c r="F19" i="37"/>
  <c r="G18" i="37"/>
  <c r="F31" i="37" s="1"/>
  <c r="D18" i="37"/>
  <c r="H5" i="37"/>
  <c r="E18" i="37" l="1"/>
  <c r="G7" i="50"/>
  <c r="G23" i="50"/>
  <c r="G6" i="50"/>
  <c r="C7" i="49"/>
  <c r="C16" i="49" s="1"/>
  <c r="E7" i="49"/>
  <c r="E16" i="49" s="1"/>
  <c r="H28" i="37"/>
  <c r="E28" i="37"/>
  <c r="C30" i="37"/>
  <c r="D13" i="43" s="1"/>
  <c r="H18" i="37"/>
  <c r="G15" i="50" l="1"/>
  <c r="G20" i="50" s="1"/>
  <c r="F30" i="37"/>
  <c r="E13" i="43" s="1"/>
  <c r="G20" i="43" l="1"/>
  <c r="C5" i="49"/>
  <c r="C17" i="49" s="1"/>
  <c r="E5" i="49"/>
  <c r="E17" i="49" s="1"/>
  <c r="K68" i="33"/>
  <c r="K67" i="33"/>
  <c r="D43" i="33"/>
  <c r="D27" i="50" l="1"/>
  <c r="E27" i="50"/>
  <c r="E6" i="50"/>
  <c r="D6" i="50"/>
  <c r="E25" i="50"/>
  <c r="E21" i="50"/>
  <c r="D25" i="50"/>
  <c r="D21" i="50"/>
  <c r="E32" i="50"/>
  <c r="E7" i="50"/>
  <c r="D32" i="50"/>
  <c r="D7" i="50"/>
  <c r="D5" i="50"/>
  <c r="E22" i="50"/>
  <c r="E26" i="50"/>
  <c r="E5" i="50"/>
  <c r="E15" i="50" s="1"/>
  <c r="D23" i="50"/>
  <c r="D22" i="50"/>
  <c r="D26" i="50"/>
  <c r="E23" i="50"/>
  <c r="D15" i="50"/>
  <c r="E18" i="49"/>
  <c r="F22" i="43" s="1"/>
  <c r="G28" i="18"/>
  <c r="G38" i="18"/>
  <c r="G27" i="18"/>
  <c r="G37" i="18"/>
  <c r="G26" i="18"/>
  <c r="G36" i="18"/>
  <c r="G35" i="18"/>
  <c r="G29" i="18"/>
  <c r="G31" i="18"/>
  <c r="G30" i="18"/>
  <c r="C31" i="37"/>
  <c r="D24" i="33"/>
  <c r="D25" i="33" s="1"/>
  <c r="C5" i="46" s="1"/>
  <c r="C6" i="46"/>
  <c r="C6" i="49"/>
  <c r="J16" i="49" s="1"/>
  <c r="E58" i="33"/>
  <c r="D58" i="33"/>
  <c r="E57" i="33"/>
  <c r="D57" i="33"/>
  <c r="D44" i="33"/>
  <c r="D45" i="33"/>
  <c r="D53" i="33" s="1"/>
  <c r="E62" i="18"/>
  <c r="I62" i="18" s="1"/>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B78" i="13"/>
  <c r="H64" i="13"/>
  <c r="F64" i="13"/>
  <c r="E64" i="13"/>
  <c r="D64" i="13"/>
  <c r="C64" i="13"/>
  <c r="B64" i="13"/>
  <c r="F50" i="13"/>
  <c r="B50" i="13"/>
  <c r="J50" i="13"/>
  <c r="I36" i="13"/>
  <c r="H36" i="13"/>
  <c r="F36" i="13"/>
  <c r="E36" i="13"/>
  <c r="D36" i="13"/>
  <c r="C36" i="13"/>
  <c r="B36" i="13"/>
  <c r="I22" i="13"/>
  <c r="H22" i="13"/>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D58" i="18"/>
  <c r="E58" i="18"/>
  <c r="D41" i="18"/>
  <c r="E41" i="18"/>
  <c r="F17" i="13"/>
  <c r="F11" i="13"/>
  <c r="F12" i="13"/>
  <c r="F13" i="13"/>
  <c r="F14" i="13"/>
  <c r="F16" i="13"/>
  <c r="F18" i="13"/>
  <c r="F10" i="13"/>
  <c r="D6" i="18"/>
  <c r="H50" i="13"/>
  <c r="I50" i="13"/>
  <c r="H78" i="13"/>
  <c r="I78" i="13"/>
  <c r="D4" i="18"/>
  <c r="D8" i="18"/>
  <c r="G24" i="18"/>
  <c r="G41" i="18" s="1"/>
  <c r="H24" i="18"/>
  <c r="H58" i="18" s="1"/>
  <c r="I24" i="18"/>
  <c r="I58" i="18" s="1"/>
  <c r="D10" i="18"/>
  <c r="D20" i="50" l="1"/>
  <c r="D20" i="43"/>
  <c r="E20" i="50"/>
  <c r="E20" i="43"/>
  <c r="N29" i="46"/>
  <c r="N27" i="46"/>
  <c r="K28" i="46"/>
  <c r="K27" i="46"/>
  <c r="L29" i="46"/>
  <c r="O25" i="46"/>
  <c r="N28" i="46"/>
  <c r="N26" i="46"/>
  <c r="N25" i="46"/>
  <c r="L28" i="46"/>
  <c r="L25" i="46"/>
  <c r="O27" i="46"/>
  <c r="K25" i="46"/>
  <c r="K26" i="46"/>
  <c r="O26" i="46"/>
  <c r="M28" i="46"/>
  <c r="M26" i="46"/>
  <c r="M25" i="46"/>
  <c r="L26" i="46"/>
  <c r="O29" i="46"/>
  <c r="K29" i="46"/>
  <c r="L27" i="46"/>
  <c r="O28" i="46"/>
  <c r="O22" i="46"/>
  <c r="N22" i="46"/>
  <c r="K21" i="46"/>
  <c r="N19" i="46"/>
  <c r="N14" i="46"/>
  <c r="O11" i="46"/>
  <c r="M19" i="46"/>
  <c r="K20" i="46"/>
  <c r="M14" i="46"/>
  <c r="N11" i="46"/>
  <c r="O13" i="46"/>
  <c r="O14" i="46"/>
  <c r="K13" i="46"/>
  <c r="L22" i="46"/>
  <c r="L19" i="46"/>
  <c r="L14" i="46"/>
  <c r="O15" i="46"/>
  <c r="K14" i="46"/>
  <c r="M11" i="46"/>
  <c r="K22" i="46"/>
  <c r="O18" i="46"/>
  <c r="K19" i="46"/>
  <c r="O12" i="46"/>
  <c r="N15" i="46"/>
  <c r="L11" i="46"/>
  <c r="N6" i="50" s="1"/>
  <c r="N18" i="46"/>
  <c r="K18" i="46"/>
  <c r="N12" i="46"/>
  <c r="N13" i="46"/>
  <c r="K11" i="46"/>
  <c r="L18" i="46"/>
  <c r="L12" i="46"/>
  <c r="N5" i="50" s="1"/>
  <c r="K15" i="46"/>
  <c r="O19" i="46"/>
  <c r="K12" i="46"/>
  <c r="M18" i="46"/>
  <c r="M12" i="46"/>
  <c r="L15" i="46"/>
  <c r="L13" i="46"/>
  <c r="N7" i="50" s="1"/>
  <c r="C18" i="49"/>
  <c r="D22" i="43" s="1"/>
  <c r="E24" i="33"/>
  <c r="E25" i="33" s="1"/>
  <c r="D5" i="46" s="1"/>
  <c r="L21" i="46" s="1"/>
  <c r="J69" i="33"/>
  <c r="J70" i="33"/>
  <c r="I69" i="33"/>
  <c r="I70" i="33"/>
  <c r="K56" i="33"/>
  <c r="K58" i="33" s="1"/>
  <c r="D63" i="33"/>
  <c r="D81" i="13"/>
  <c r="H81" i="13" s="1"/>
  <c r="F53" i="13"/>
  <c r="E59" i="33"/>
  <c r="I41" i="18"/>
  <c r="H41" i="18"/>
  <c r="G58" i="18"/>
  <c r="D59" i="33"/>
  <c r="D52" i="33"/>
  <c r="E28" i="18"/>
  <c r="I28" i="18" s="1"/>
  <c r="E45" i="18"/>
  <c r="I45" i="18" s="1"/>
  <c r="C39" i="18"/>
  <c r="G39" i="18" s="1"/>
  <c r="D56" i="18"/>
  <c r="H56" i="18" s="1"/>
  <c r="D73" i="18"/>
  <c r="H73" i="18" s="1"/>
  <c r="O21" i="46" l="1"/>
  <c r="N15" i="50"/>
  <c r="E29" i="50"/>
  <c r="E21" i="43" s="1"/>
  <c r="D29" i="50"/>
  <c r="D21" i="43" s="1"/>
  <c r="M21" i="46"/>
  <c r="N21" i="46"/>
  <c r="N17" i="46" s="1"/>
  <c r="K10" i="46"/>
  <c r="D11" i="43" s="1"/>
  <c r="N24" i="46"/>
  <c r="F14" i="43" s="1"/>
  <c r="L10" i="46"/>
  <c r="E11" i="43" s="1"/>
  <c r="E12" i="43" s="1"/>
  <c r="O10" i="46"/>
  <c r="O24" i="46"/>
  <c r="K17" i="46"/>
  <c r="K24" i="46"/>
  <c r="D14" i="43" s="1"/>
  <c r="G14" i="43" s="1"/>
  <c r="O17" i="46"/>
  <c r="L17" i="46"/>
  <c r="N10" i="46"/>
  <c r="F11" i="43" s="1"/>
  <c r="F12" i="43" s="1"/>
  <c r="L24" i="46"/>
  <c r="E14" i="43" s="1"/>
  <c r="K69" i="33"/>
  <c r="K70" i="33"/>
  <c r="F81" i="13"/>
  <c r="C56" i="18"/>
  <c r="G56" i="18" s="1"/>
  <c r="G11" i="43" l="1"/>
  <c r="D12" i="43"/>
  <c r="C73" i="18"/>
  <c r="G73" i="18" s="1"/>
  <c r="AK26" i="47"/>
  <c r="G25" i="50" s="1"/>
  <c r="G29" i="50" s="1"/>
  <c r="AI13" i="47"/>
  <c r="AI26" i="47" s="1"/>
  <c r="S26" i="47"/>
  <c r="AI5" i="47" l="1"/>
  <c r="AH6" i="47"/>
  <c r="E44" i="18" s="1"/>
  <c r="AH7" i="47"/>
  <c r="E61" i="18" s="1"/>
  <c r="I61" i="18" s="1"/>
  <c r="AH5" i="47"/>
  <c r="E21" i="46" s="1"/>
  <c r="D31" i="18"/>
  <c r="E28" i="46"/>
  <c r="D27" i="18"/>
  <c r="H27" i="18" s="1"/>
  <c r="M29" i="46" l="1"/>
  <c r="M15" i="46"/>
  <c r="M22" i="46"/>
  <c r="M17" i="46" s="1"/>
  <c r="E31" i="18"/>
  <c r="I31" i="18" s="1"/>
  <c r="H31" i="18"/>
  <c r="E56" i="18"/>
  <c r="I56" i="18" s="1"/>
  <c r="D31" i="43" s="1"/>
  <c r="I44" i="18"/>
  <c r="E19" i="46"/>
  <c r="E27" i="18"/>
  <c r="I27" i="18" s="1"/>
  <c r="E20" i="46"/>
  <c r="D39" i="18"/>
  <c r="H39" i="18" s="1"/>
  <c r="G21" i="43" l="1"/>
  <c r="M27" i="46"/>
  <c r="M24" i="46" s="1"/>
  <c r="C14" i="43" s="1"/>
  <c r="H14" i="43" s="1"/>
  <c r="M13" i="46"/>
  <c r="M10" i="46" s="1"/>
  <c r="C11" i="43" s="1"/>
  <c r="C12" i="43" s="1"/>
  <c r="E73" i="18"/>
  <c r="I73" i="18" s="1"/>
  <c r="E31" i="43" s="1"/>
  <c r="E32" i="46"/>
  <c r="G32" i="46"/>
  <c r="E39" i="18"/>
  <c r="I39" i="18" s="1"/>
  <c r="F32" i="46"/>
  <c r="H11" i="43" l="1"/>
  <c r="D32" i="43"/>
  <c r="D33" i="43" s="1"/>
  <c r="D35" i="43" s="1"/>
  <c r="C31" i="43"/>
  <c r="E32" i="43"/>
  <c r="E33" i="43" s="1"/>
  <c r="E35" i="43" s="1"/>
  <c r="C32" i="43"/>
  <c r="C33" i="43" s="1"/>
  <c r="C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8" authorId="0" shapeId="0" xr:uid="{C81423AC-22F2-4824-AE86-57D5BBE4F0BF}">
      <text>
        <r>
          <rPr>
            <sz val="9"/>
            <color indexed="81"/>
            <rFont val="Tahoma"/>
            <family val="2"/>
          </rPr>
          <t>För beräkning av primärenergital. Väljs i flik A, ruta D51.</t>
        </r>
      </text>
    </comment>
    <comment ref="C10" authorId="0" shapeId="0" xr:uid="{AE0F39B8-9F49-456C-9F36-1CA626EA9BF8}">
      <text>
        <r>
          <rPr>
            <sz val="9"/>
            <color indexed="81"/>
            <rFont val="Tahoma"/>
            <family val="2"/>
          </rPr>
          <t>Underlag från C-flikarna. Beräknas i PETberäkning.</t>
        </r>
      </text>
    </comment>
    <comment ref="D10" authorId="0" shapeId="0" xr:uid="{16B15F64-7B77-40C7-8214-26F923212030}">
      <text>
        <r>
          <rPr>
            <sz val="9"/>
            <color indexed="81"/>
            <rFont val="Tahoma"/>
            <family val="2"/>
          </rPr>
          <t>Underlag från B-flikarna. Beräknas i PETberäkning.</t>
        </r>
      </text>
    </comment>
    <comment ref="E10" authorId="0" shapeId="0" xr:uid="{05A2C497-416E-496E-9671-8DB557A5B3B1}">
      <text>
        <r>
          <rPr>
            <sz val="9"/>
            <color indexed="81"/>
            <rFont val="Tahoma"/>
            <family val="2"/>
          </rPr>
          <t>Underlag från B-flikarna. Beräknas i PETberäkning.</t>
        </r>
      </text>
    </comment>
    <comment ref="F10" authorId="0" shapeId="0" xr:uid="{D5C0CFD6-E2FA-4C45-ABB2-E794513C4D58}">
      <text>
        <r>
          <rPr>
            <sz val="9"/>
            <color indexed="81"/>
            <rFont val="Tahoma"/>
            <family val="2"/>
          </rPr>
          <t>Underlag från C-flikarna. Beräknas i PETberäkning.</t>
        </r>
      </text>
    </comment>
    <comment ref="C11" authorId="0" shapeId="0" xr:uid="{BBB22880-836D-4568-84E0-49AD14FD9AE1}">
      <text>
        <r>
          <rPr>
            <sz val="9"/>
            <color indexed="81"/>
            <rFont val="Tahoma"/>
            <family val="2"/>
          </rPr>
          <t>Beräknat från uppdelat mätresultat per energibärare.</t>
        </r>
      </text>
    </comment>
    <comment ref="E11" authorId="0" shapeId="0" xr:uid="{4CB10AD5-A142-4578-A500-4DDEF8A450A5}">
      <text>
        <r>
          <rPr>
            <sz val="9"/>
            <color indexed="81"/>
            <rFont val="Tahoma"/>
            <family val="2"/>
          </rPr>
          <t xml:space="preserve">PET beräknat från fliken Resultat beräkning.
</t>
        </r>
      </text>
    </comment>
    <comment ref="F11" authorId="0" shapeId="0" xr:uid="{49323E6A-BB6B-425B-98A0-C95275D8130E}">
      <text>
        <r>
          <rPr>
            <sz val="9"/>
            <color indexed="81"/>
            <rFont val="Tahoma"/>
            <family val="2"/>
          </rPr>
          <t>Beräknat från uppdelat mätresultat per energibärare.</t>
        </r>
      </text>
    </comment>
    <comment ref="B12" authorId="0" shapeId="0" xr:uid="{F4D1CCCC-8ABC-4D41-8BD2-87FFEF142287}">
      <text>
        <r>
          <rPr>
            <sz val="9"/>
            <color indexed="81"/>
            <rFont val="Tahoma"/>
            <family val="2"/>
          </rPr>
          <t>Enligt BBR 29, som för energideklaration.</t>
        </r>
      </text>
    </comment>
    <comment ref="D16" authorId="0" shapeId="0" xr:uid="{845338A9-8D31-4317-BAE8-C7CF4D3C465C}">
      <text>
        <r>
          <rPr>
            <sz val="9"/>
            <color indexed="81"/>
            <rFont val="Tahoma"/>
            <family val="2"/>
          </rPr>
          <t>Utgår från Upphandlingsmyndighetens krav (UHM-krav) på lägre energianvändning för byggnaden. Kraven är frivilliga att använda för byggherre/beställare men då kraven används ska entreprenör/uppdragstagare ansvara för att de uppnås. Kravet på Värmeförlusttal (VFT) ska inte användas samtidigt med Nettoenergi (UHM 1A) och energianvändning (UHM 1B). De två sistnämnda ska användas tillsammans. För defintioner, se flik UHM.</t>
        </r>
      </text>
    </comment>
    <comment ref="C17" authorId="0" shapeId="0" xr:uid="{918EA75E-3604-41B8-8080-5D6176120073}">
      <text>
        <r>
          <rPr>
            <sz val="11"/>
            <color indexed="81"/>
            <rFont val="Franklin Gothic Book"/>
            <family val="2"/>
          </rPr>
          <t>Fyll i gällande UHM-krav.</t>
        </r>
        <r>
          <rPr>
            <sz val="9"/>
            <color indexed="81"/>
            <rFont val="Tahoma"/>
            <family val="2"/>
          </rPr>
          <t xml:space="preserve">
</t>
        </r>
      </text>
    </comment>
    <comment ref="D18" authorId="0" shapeId="0" xr:uid="{47221D49-EC34-4300-A782-A717FF9521EB}">
      <text>
        <r>
          <rPr>
            <sz val="9"/>
            <color indexed="81"/>
            <rFont val="Tahoma"/>
            <family val="2"/>
          </rPr>
          <t xml:space="preserve">Inför färdigställande av programhandling eller systemhandling men före det att upphandling av systemlösningar som påverkar värme- och energianvänding sker (klimatskärm, installationer m.m.).
</t>
        </r>
      </text>
    </comment>
    <comment ref="E18" authorId="0" shapeId="0" xr:uid="{918A0D50-FFEE-496D-B2D2-C3107069C317}">
      <text>
        <r>
          <rPr>
            <sz val="9"/>
            <color indexed="81"/>
            <rFont val="Tahoma"/>
            <family val="2"/>
          </rPr>
          <t>Inför färdigställande av bygghandling.</t>
        </r>
      </text>
    </comment>
    <comment ref="F18" authorId="0" shapeId="0" xr:uid="{8F2B6D66-12C0-4307-AE2C-E4EAA4798DFF}">
      <text>
        <r>
          <rPr>
            <sz val="9"/>
            <color indexed="81"/>
            <rFont val="Tahoma"/>
            <family val="2"/>
          </rPr>
          <t>Alternativt inför interimistiskt slutbesked (relationshandling).</t>
        </r>
        <r>
          <rPr>
            <b/>
            <sz val="9"/>
            <color indexed="81"/>
            <rFont val="Tahoma"/>
            <family val="2"/>
          </rPr>
          <t xml:space="preserve">
</t>
        </r>
      </text>
    </comment>
    <comment ref="B20" authorId="0" shapeId="0" xr:uid="{C669EDF1-C1FA-463E-9243-D07B6AE43A85}">
      <text>
        <r>
          <rPr>
            <sz val="9"/>
            <color indexed="81"/>
            <rFont val="Tahoma"/>
            <family val="2"/>
          </rPr>
          <t>Enligt UHM:s definition.</t>
        </r>
      </text>
    </comment>
    <comment ref="B21" authorId="0" shapeId="0" xr:uid="{F8D2180D-C466-4A0E-9525-CA534E4970CD}">
      <text>
        <r>
          <rPr>
            <sz val="9"/>
            <color indexed="81"/>
            <rFont val="Tahoma"/>
            <family val="2"/>
          </rPr>
          <t>Enligt UHM:s definition.</t>
        </r>
      </text>
    </comment>
    <comment ref="B22" authorId="0" shapeId="0" xr:uid="{420E4625-6756-4752-BF20-BDF09A9E36C9}">
      <text>
        <r>
          <rPr>
            <sz val="9"/>
            <color indexed="81"/>
            <rFont val="Tahoma"/>
            <family val="2"/>
          </rPr>
          <t>Alternativt krav till de bägge ovanstående. 
Värmeförlusttal enligt UHMs (FEBYs) definition.
Beräkning under flik VFT.</t>
        </r>
      </text>
    </comment>
    <comment ref="B27" authorId="0" shapeId="0" xr:uid="{6867F514-402D-4E4F-8981-F8CE32359226}">
      <text>
        <r>
          <rPr>
            <sz val="9"/>
            <color indexed="81"/>
            <rFont val="Tahoma"/>
            <family val="2"/>
          </rPr>
          <t>Fyll i avtalad energiprestanda (primärenergital).</t>
        </r>
      </text>
    </comment>
    <comment ref="B29" authorId="0" shapeId="0" xr:uid="{5E7FAB5B-62A5-47D7-923B-515810DC4692}">
      <text>
        <r>
          <rPr>
            <sz val="9"/>
            <color indexed="81"/>
            <rFont val="Tahoma"/>
            <family val="2"/>
          </rPr>
          <t>Fyll i avtalat energivite (Om inget vite skriv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peralevi</author>
    <author>Per</author>
    <author>perle</author>
  </authors>
  <commentList>
    <comment ref="B5" authorId="0" shapeId="0" xr:uid="{0032BB61-3ED2-4278-A794-92A06B9EF39E}">
      <text>
        <r>
          <rPr>
            <sz val="9"/>
            <color indexed="81"/>
            <rFont val="Tahoma"/>
            <family val="2"/>
          </rPr>
          <t>Underlag för BBR, energideklaration och övriga flikar. 
Kommun, byggnadskategori och verksamheter och areor  måste fyllas i för att BBR-krav ska räknas ut.</t>
        </r>
      </text>
    </comment>
    <comment ref="F5" authorId="0" shapeId="0" xr:uid="{70DCF623-6E6C-40F2-9375-5FC1EC224652}">
      <text>
        <r>
          <rPr>
            <sz val="9"/>
            <color indexed="81"/>
            <rFont val="Tahoma"/>
            <family val="2"/>
          </rPr>
          <t>Denna tabell är bara för information, tills vidare.</t>
        </r>
      </text>
    </comment>
    <comment ref="F6" authorId="1" shapeId="0" xr:uid="{9C90736B-B036-4454-8D6B-EC39367959B0}">
      <text>
        <r>
          <rPr>
            <sz val="9"/>
            <color indexed="81"/>
            <rFont val="Tahoma"/>
            <family val="2"/>
          </rPr>
          <t>Flera bockar kan sättas på varje systemdel.</t>
        </r>
      </text>
    </comment>
    <comment ref="F10" authorId="2" shapeId="0" xr:uid="{50BF99AC-BC5B-4EB8-B65E-C32DC492BCBD}">
      <text>
        <r>
          <rPr>
            <sz val="9"/>
            <color indexed="81"/>
            <rFont val="Tahoma"/>
            <family val="2"/>
          </rPr>
          <t>Hushålls- eller verksamhetsenergi som ska återföras till uppvärmning.</t>
        </r>
      </text>
    </comment>
    <comment ref="D24" authorId="0" shapeId="0" xr:uid="{4BC291E5-A561-498C-9147-5CE18D69464D}">
      <text>
        <r>
          <rPr>
            <sz val="9"/>
            <color indexed="81"/>
            <rFont val="Tahoma"/>
            <family val="2"/>
          </rPr>
          <t>Fyll i beräknat värde vid startbesked under fliken Resultat beräkning. Observera enheten, W/m</t>
        </r>
        <r>
          <rPr>
            <vertAlign val="superscript"/>
            <sz val="9"/>
            <color indexed="81"/>
            <rFont val="Tahoma"/>
            <family val="2"/>
          </rPr>
          <t>2</t>
        </r>
        <r>
          <rPr>
            <sz val="9"/>
            <color indexed="81"/>
            <rFont val="Tahoma"/>
            <family val="2"/>
          </rPr>
          <t>.</t>
        </r>
      </text>
    </comment>
    <comment ref="E24" authorId="0" shapeId="0" xr:uid="{8C349934-4470-4F05-A742-42C9B32F2D14}">
      <text>
        <r>
          <rPr>
            <sz val="9"/>
            <color indexed="81"/>
            <rFont val="Tahoma"/>
            <family val="2"/>
          </rPr>
          <t>Fyll i verifierat värde inför slutbesked under fliken Resultat beräkning.</t>
        </r>
      </text>
    </comment>
    <comment ref="C25" authorId="0" shapeId="0" xr:uid="{2F2BE5BD-E47F-43F7-85B3-9AB9DBDA78AE}">
      <text>
        <r>
          <rPr>
            <sz val="9"/>
            <color indexed="81"/>
            <rFont val="Tahoma"/>
            <family val="2"/>
          </rPr>
          <t>Styrs av värde i ovanförliggande rutor.</t>
        </r>
      </text>
    </comment>
    <comment ref="R30" authorId="0" shapeId="0" xr:uid="{8B5D538B-65A1-4600-961A-F7F26F1324D0}">
      <text>
        <r>
          <rPr>
            <sz val="9"/>
            <color indexed="81"/>
            <rFont val="Tahoma"/>
            <family val="2"/>
          </rPr>
          <t>Denna tabell är bara för information, tills vidare.</t>
        </r>
      </text>
    </comment>
    <comment ref="L32" authorId="0" shapeId="0" xr:uid="{E4BE99FF-6D88-4590-BF12-F5D54D626E71}">
      <text>
        <r>
          <rPr>
            <sz val="9"/>
            <color indexed="81"/>
            <rFont val="Tahoma"/>
            <family val="2"/>
          </rPr>
          <t xml:space="preserve">Elpanna, värmeslingor med el eller liknande.
</t>
        </r>
      </text>
    </comment>
    <comment ref="G42" authorId="0" shapeId="0" xr:uid="{3C4ABD71-17F4-4B1E-BE95-FF7811824B47}">
      <text>
        <r>
          <rPr>
            <sz val="9"/>
            <color indexed="81"/>
            <rFont val="Franklin Gothic Book"/>
            <family val="2"/>
          </rPr>
          <t>Vad avloppsvvx bidrar till.</t>
        </r>
        <r>
          <rPr>
            <sz val="9"/>
            <color indexed="81"/>
            <rFont val="Tahoma"/>
            <family val="2"/>
          </rPr>
          <t xml:space="preserve">
</t>
        </r>
      </text>
    </comment>
    <comment ref="G43" authorId="0" shapeId="0" xr:uid="{A73574D2-DED9-44FA-96FF-5AEEFD01289D}">
      <text>
        <r>
          <rPr>
            <sz val="9"/>
            <color indexed="81"/>
            <rFont val="Franklin Gothic Book"/>
            <family val="2"/>
          </rPr>
          <t>Vad solfångaren bidrar  till.</t>
        </r>
        <r>
          <rPr>
            <sz val="9"/>
            <color indexed="81"/>
            <rFont val="Tahoma"/>
            <family val="2"/>
          </rPr>
          <t xml:space="preserve">
</t>
        </r>
      </text>
    </comment>
    <comment ref="G44" authorId="0" shapeId="0" xr:uid="{1DBA7CD4-57D7-4B9B-9520-F21D67A7C846}">
      <text>
        <r>
          <rPr>
            <sz val="9"/>
            <color indexed="81"/>
            <rFont val="Franklin Gothic Book"/>
            <family val="2"/>
          </rPr>
          <t>Vad solcellerna bidrar till.</t>
        </r>
      </text>
    </comment>
    <comment ref="G45" authorId="0" shapeId="0" xr:uid="{F9734DC3-57AE-40BC-A6BE-402E8FE5EAE7}">
      <text>
        <r>
          <rPr>
            <sz val="9"/>
            <color indexed="81"/>
            <rFont val="Tahoma"/>
            <family val="2"/>
          </rPr>
          <t xml:space="preserve">Summa verksamhetsel per byggnad.
</t>
        </r>
      </text>
    </comment>
    <comment ref="G46" authorId="0" shapeId="0" xr:uid="{59FC5889-71E1-4AF0-8F13-9CA9AB79965D}">
      <text>
        <r>
          <rPr>
            <sz val="9"/>
            <color indexed="81"/>
            <rFont val="Tahoma"/>
            <family val="2"/>
          </rPr>
          <t xml:space="preserve">Summa hushållsel per byggnad.
</t>
        </r>
      </text>
    </comment>
    <comment ref="F48" authorId="0" shapeId="0" xr:uid="{B7377216-EB0C-41C3-B96B-DEE23C0462FE}">
      <text>
        <r>
          <rPr>
            <sz val="9"/>
            <color indexed="81"/>
            <rFont val="Tahoma"/>
            <family val="2"/>
          </rPr>
          <t xml:space="preserve">Här räknas BBR-kravet ut (viktat mellan bostäder/lokal) samt ventilationstillägg och effektkrav.
</t>
        </r>
      </text>
    </comment>
    <comment ref="G48" authorId="0" shapeId="0" xr:uid="{9A06C8CA-33AA-48ED-A416-7B44974E1D04}">
      <text>
        <r>
          <rPr>
            <sz val="9"/>
            <color indexed="81"/>
            <rFont val="Tahoma"/>
            <family val="2"/>
          </rPr>
          <t>Använd gärna kommentarfält nedan för att specificera.</t>
        </r>
      </text>
    </comment>
    <comment ref="C51" authorId="0" shapeId="0" xr:uid="{69EB4AB1-04FF-42C6-B3EE-5FB9AE8E88FF}">
      <text>
        <r>
          <rPr>
            <sz val="9"/>
            <color indexed="81"/>
            <rFont val="Tahoma"/>
            <family val="2"/>
          </rPr>
          <t>Från val av kommun i ruta C6.</t>
        </r>
      </text>
    </comment>
    <comment ref="C54" authorId="0" shapeId="0" xr:uid="{EEDC2CB8-C52D-4607-975F-7FFCC77470DE}">
      <text>
        <r>
          <rPr>
            <sz val="9"/>
            <color indexed="81"/>
            <rFont val="Tahoma"/>
            <family val="2"/>
          </rPr>
          <t>Ventilationstillägg om mer än 50% smålägenheter av Atemp.</t>
        </r>
      </text>
    </comment>
    <comment ref="C55" authorId="0" shapeId="0" xr:uid="{ABB67B1C-6668-4348-BC4F-10600E415F66}">
      <text>
        <r>
          <rPr>
            <sz val="9"/>
            <color indexed="81"/>
            <rFont val="Tahoma"/>
            <family val="2"/>
          </rPr>
          <t>Fyll i aktuellt luftflöde för hela byggnadens A</t>
        </r>
        <r>
          <rPr>
            <vertAlign val="subscript"/>
            <sz val="9"/>
            <color indexed="81"/>
            <rFont val="Tahoma"/>
            <family val="2"/>
          </rPr>
          <t>temp</t>
        </r>
        <r>
          <rPr>
            <sz val="9"/>
            <color indexed="81"/>
            <rFont val="Tahoma"/>
            <family val="2"/>
          </rPr>
          <t>-area. Max 1,0 för lokal och max 0,6 för flerbostadshus (infördes i BBR 26).
Luftflödet används för att beräkna ventilationstillägg i tabellen nedan.
Lite beräkningshjälp för q</t>
        </r>
        <r>
          <rPr>
            <vertAlign val="subscript"/>
            <sz val="9"/>
            <color indexed="81"/>
            <rFont val="Tahoma"/>
            <family val="2"/>
          </rPr>
          <t>m</t>
        </r>
        <r>
          <rPr>
            <sz val="9"/>
            <color indexed="81"/>
            <rFont val="Tahoma"/>
            <family val="2"/>
          </rPr>
          <t xml:space="preserve"> finns till höger i kolumn K.</t>
        </r>
      </text>
    </comment>
    <comment ref="C59" authorId="0" shapeId="0" xr:uid="{94016223-F613-4756-BA3F-E21BE57242F5}">
      <text>
        <r>
          <rPr>
            <sz val="9"/>
            <color indexed="81"/>
            <rFont val="Tahoma"/>
            <family val="2"/>
          </rPr>
          <t>Räknas ut för  kombinerad bostad och lokal.
Viktning görs med Atemp.</t>
        </r>
      </text>
    </comment>
    <comment ref="K60" authorId="2" shapeId="0" xr:uid="{4869F0A4-7073-4088-9939-3050739EF5AA}">
      <text>
        <r>
          <rPr>
            <sz val="10"/>
            <color indexed="81"/>
            <rFont val="Franklin Gothic Book"/>
            <family val="2"/>
          </rPr>
          <t>Mata in antal timmar som luftflödet vid närvaro gäller.</t>
        </r>
      </text>
    </comment>
    <comment ref="J62" authorId="0" shapeId="0" xr:uid="{B389B485-4918-4CB7-A89F-3E0DC7374051}">
      <text>
        <r>
          <rPr>
            <sz val="9"/>
            <color indexed="81"/>
            <rFont val="Tahoma"/>
            <family val="2"/>
          </rPr>
          <t>Resultatet kan matas in i ruta D55 med ev. justering för bostadsdel eller annan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19" authorId="0" shapeId="0" xr:uid="{ACBB4987-0F48-44AC-BB0A-A8F967A0CF67}">
      <text>
        <r>
          <rPr>
            <sz val="9"/>
            <color indexed="81"/>
            <rFont val="Tahoma"/>
            <family val="2"/>
          </rPr>
          <t>Tas med som extra säkerhetsmarginal mot mätresultat enligt BEN. Storleken beror på hur distributionsförluster och övriga förluster beaktats ovan.</t>
        </r>
      </text>
    </comment>
    <comment ref="B21" authorId="0" shapeId="0" xr:uid="{BF8B85DF-E6BE-47D5-9E5A-C749A660788B}">
      <text>
        <r>
          <rPr>
            <sz val="9"/>
            <color indexed="81"/>
            <rFont val="Tahoma"/>
            <family val="2"/>
          </rPr>
          <t xml:space="preserve">Redovisas för att bedöma hur stort bidrag till uppvärmningen som kan antas komma från internlaster. 
</t>
        </r>
      </text>
    </comment>
    <comment ref="F21" authorId="0" shapeId="0" xr:uid="{35897CDC-BA49-4527-994A-6BD9B1AFD20A}">
      <text>
        <r>
          <rPr>
            <sz val="9"/>
            <color indexed="81"/>
            <rFont val="Tahoma"/>
            <family val="2"/>
          </rPr>
          <t>Fyll i beräknad hushållsenergi/verksamhetsenergi.
Används i flikarna Resultat mätning och Normaliseringsunderlag.</t>
        </r>
      </text>
    </comment>
    <comment ref="B23" authorId="0" shapeId="0" xr:uid="{B07F0F32-A4DD-4C64-BF44-E297D47DD8D9}">
      <text>
        <r>
          <rPr>
            <sz val="9"/>
            <color indexed="81"/>
            <rFont val="Tahoma"/>
            <family val="2"/>
          </rPr>
          <t>Observera enheten.</t>
        </r>
      </text>
    </comment>
    <comment ref="D26" authorId="0" shapeId="0" xr:uid="{08520F62-B1C9-4BBC-95CD-995C9AF3C812}">
      <text>
        <r>
          <rPr>
            <sz val="9"/>
            <color indexed="81"/>
            <rFont val="Tahoma"/>
            <family val="2"/>
          </rPr>
          <t>Fyll i kWh för aktuella rader. Beräknat primärenergital syns i flik Start &amp; resultat.</t>
        </r>
      </text>
    </comment>
    <comment ref="F26" authorId="0" shapeId="0" xr:uid="{EA450D57-151F-40B6-BFE5-E8FD949AC06F}">
      <text>
        <r>
          <rPr>
            <sz val="9"/>
            <color indexed="81"/>
            <rFont val="Tahoma"/>
            <family val="2"/>
          </rPr>
          <t>Fyll i kWh för aktuella rader. Beräknat primärenergital syns i flik Start &amp; resultat.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emilengl</author>
  </authors>
  <commentList>
    <comment ref="D18" authorId="0" shapeId="0" xr:uid="{ABB8AD2C-2D63-4946-A402-2DA89981FF60}">
      <text>
        <r>
          <rPr>
            <sz val="9"/>
            <color indexed="81"/>
            <rFont val="Tahoma"/>
            <family val="2"/>
          </rPr>
          <t>Detta resultat används som byggnaden omslutningsarea, Aom, t.ex. vid beräkning av formfaktor nedan.</t>
        </r>
      </text>
    </comment>
    <comment ref="G18" authorId="0" shapeId="0" xr:uid="{C87A5312-74A6-4652-B3A6-4E8157AB6512}">
      <text>
        <r>
          <rPr>
            <sz val="9"/>
            <color indexed="81"/>
            <rFont val="Tahoma"/>
            <family val="2"/>
          </rPr>
          <t>Detta resultat används som byggnaden omslutningsarea, Aom, t.ex. vid beräkning av formfaktor nedan.</t>
        </r>
      </text>
    </comment>
    <comment ref="C30" authorId="0" shapeId="0" xr:uid="{0AA9647C-8150-4A8A-834F-654206CBBC1E}">
      <text>
        <r>
          <rPr>
            <sz val="9"/>
            <color indexed="81"/>
            <rFont val="Tahoma"/>
            <family val="2"/>
          </rPr>
          <t>Värdet kopieras till start-sidan.</t>
        </r>
      </text>
    </comment>
    <comment ref="F30" authorId="0" shapeId="0" xr:uid="{11303CC5-49D0-49F0-80B4-1D24C5EDE1B8}">
      <text>
        <r>
          <rPr>
            <sz val="9"/>
            <color indexed="81"/>
            <rFont val="Tahoma"/>
            <family val="2"/>
          </rPr>
          <t>Värdet kopieras till start-sidan.</t>
        </r>
      </text>
    </comment>
    <comment ref="C32" authorId="0" shapeId="0" xr:uid="{5F1A6739-A039-4138-A5B4-084AB158CE33}">
      <text>
        <r>
          <rPr>
            <sz val="9"/>
            <color indexed="81"/>
            <rFont val="Tahoma"/>
            <family val="2"/>
          </rPr>
          <t xml:space="preserve">Fyll i värde före åtgärd.
</t>
        </r>
      </text>
    </comment>
    <comment ref="H32" authorId="0" shapeId="0" xr:uid="{F271E06A-6F60-4CF8-BCAA-6158AFC838DC}">
      <text>
        <r>
          <rPr>
            <sz val="9"/>
            <color indexed="81"/>
            <rFont val="Tahoma"/>
            <family val="2"/>
          </rPr>
          <t xml:space="preserve">Fyll i uppmätt värde efter renoveringen.
</t>
        </r>
      </text>
    </comment>
    <comment ref="B41" authorId="1" shapeId="0" xr:uid="{84D149C8-C52D-464D-AAD1-5FA597C07710}">
      <text>
        <r>
          <rPr>
            <sz val="9"/>
            <color indexed="81"/>
            <rFont val="Tahoma"/>
            <family val="2"/>
          </rPr>
          <t>Inkl. gardiner m.m.</t>
        </r>
      </text>
    </comment>
    <comment ref="B42" authorId="1" shapeId="0" xr:uid="{F2183197-D739-4EC7-8B44-49EBB3317B00}">
      <text>
        <r>
          <rPr>
            <sz val="9"/>
            <color indexed="81"/>
            <rFont val="Tahoma"/>
            <family val="2"/>
          </rPr>
          <t>Skuggningsandel avser ytterligare begränsning av solinstrålningen i form av horisontavskärmning, utkragande balkonger eller dylikt, som inte direkt påverkas av brukare.</t>
        </r>
      </text>
    </comment>
    <comment ref="B51" authorId="0" shapeId="0" xr:uid="{FC2325C4-A210-4D98-AF42-EBC2A17B7B43}">
      <text>
        <r>
          <rPr>
            <sz val="9"/>
            <color indexed="81"/>
            <rFont val="Tahoma"/>
            <family val="2"/>
          </rPr>
          <t>För bostäder som följer brukarindata i BEN, räcker det med att redovisa under rubriken Solskydd, och för en beräkningszon (alternativt görs olika blanketter).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9" authorId="0" shapeId="0" xr:uid="{E0F7B06B-0D5B-41DD-B04C-1DAD46B6BD10}">
      <text>
        <r>
          <rPr>
            <sz val="9"/>
            <color indexed="81"/>
            <rFont val="Tahoma"/>
            <family val="2"/>
          </rPr>
          <t>Från fliken Resultat beräkning.</t>
        </r>
      </text>
    </comment>
    <comment ref="D9" authorId="0" shapeId="0" xr:uid="{618340FE-9DE2-4929-9381-7FF58A0EE5D8}">
      <text>
        <r>
          <rPr>
            <sz val="9"/>
            <color indexed="81"/>
            <rFont val="Tahoma"/>
            <family val="2"/>
          </rPr>
          <t>Från fliken Resultat beräkning.</t>
        </r>
      </text>
    </comment>
    <comment ref="E9" authorId="0" shapeId="0" xr:uid="{B9028906-0FB5-42CF-A605-00889B36D60B}">
      <text>
        <r>
          <rPr>
            <sz val="9"/>
            <color indexed="81"/>
            <rFont val="Tahoma"/>
            <family val="2"/>
          </rPr>
          <t xml:space="preserve">Från fliken Inmatning och verifiering.
</t>
        </r>
      </text>
    </comment>
    <comment ref="F9" authorId="0" shapeId="0" xr:uid="{F97A4A20-7C4D-4DA9-85CC-53FAFE6EAA6F}">
      <text>
        <r>
          <rPr>
            <sz val="9"/>
            <color indexed="81"/>
            <rFont val="Tahoma"/>
            <family val="2"/>
          </rPr>
          <t>Från fliken Inmatning och verifiering.</t>
        </r>
      </text>
    </comment>
    <comment ref="G9" authorId="0" shapeId="0" xr:uid="{8CA919BB-ECB8-4561-9B9A-72CDE10CA2C5}">
      <text>
        <r>
          <rPr>
            <sz val="9"/>
            <color indexed="81"/>
            <rFont val="Tahoma"/>
            <family val="2"/>
          </rPr>
          <t>Från fliken Inmatning och verifiering.</t>
        </r>
      </text>
    </comment>
    <comment ref="J12" authorId="0" shapeId="0" xr:uid="{D5ABA67E-60CD-477C-B754-5A3300E508F6}">
      <text>
        <r>
          <rPr>
            <sz val="9"/>
            <color indexed="81"/>
            <rFont val="Tahoma"/>
            <family val="2"/>
          </rPr>
          <t xml:space="preserve">VVC räknas till uppvärmning men ska helst inte normalårskorrigeras.
</t>
        </r>
      </text>
    </comment>
    <comment ref="J19" authorId="0" shapeId="0" xr:uid="{D1EDF9E5-4D41-4E5A-A603-09DE135940A5}">
      <text>
        <r>
          <rPr>
            <sz val="9"/>
            <color indexed="81"/>
            <rFont val="Tahoma"/>
            <family val="2"/>
          </rPr>
          <t xml:space="preserve">VVC räknas till uppvärmning men ska helst inte normalårskorrigeras.
</t>
        </r>
      </text>
    </comment>
    <comment ref="J26" authorId="0" shapeId="0" xr:uid="{E25B979D-A888-42BA-A162-658715987C87}">
      <text>
        <r>
          <rPr>
            <sz val="9"/>
            <color indexed="81"/>
            <rFont val="Tahoma"/>
            <family val="2"/>
          </rPr>
          <t xml:space="preserve">VVC räknas till uppvärmning men ska helst inte normalårskorrigeras.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3" authorId="0" shapeId="0" xr:uid="{B1F1A770-D4F2-4A3F-A0FD-DFD55EFD0839}">
      <text>
        <r>
          <rPr>
            <sz val="9"/>
            <color indexed="81"/>
            <rFont val="Tahoma"/>
            <family val="2"/>
          </rPr>
          <t>I nettovärmeenergi ingår inte  tappvarmvatten. Däremot ingår  VVC-förluster, stilleståndsförluster och distributionsförluster.
Vid fler än en energibärare för värme: Tänk på att inte ta med förlusterna fler gånger.
Resultat i kolumnerna D, E och F kommer från fliken B1. Resultat beräkning.
Mätresultat kommer från fliken C2. Inmatning och verifiering.
Atemp-area måste fyllas i (flik A), samt relevanta vita rutor på denna flik.</t>
        </r>
      </text>
    </comment>
    <comment ref="D3" authorId="0" shapeId="0" xr:uid="{71831E89-9CCC-4A16-BE0F-FA9DCBFA7CD4}">
      <text>
        <r>
          <rPr>
            <sz val="9"/>
            <color indexed="81"/>
            <rFont val="Tahoma"/>
            <family val="2"/>
          </rPr>
          <t>Inför färdigställande av programhandling eller systemhandling men före det att upphandling av systemlösningar som påverkar värme- och energianvänding sker (klimatskärm, installationer m.m.).</t>
        </r>
      </text>
    </comment>
    <comment ref="E3" authorId="0" shapeId="0" xr:uid="{9177790B-83D1-453F-8564-9F38B0F26387}">
      <text>
        <r>
          <rPr>
            <sz val="9"/>
            <color indexed="81"/>
            <rFont val="Tahoma"/>
            <family val="2"/>
          </rPr>
          <t>Inför färdigställande av bygghandling.</t>
        </r>
      </text>
    </comment>
    <comment ref="C5" authorId="0" shapeId="0" xr:uid="{C8075179-2676-44C5-AED9-33FF8B884553}">
      <text>
        <r>
          <rPr>
            <sz val="9"/>
            <color indexed="81"/>
            <rFont val="Tahoma"/>
            <family val="2"/>
          </rPr>
          <t>Rad 1 ska EJ inkludera värme för tappvarmvatten men INKLUSIVE VVC-förluster (totala) och stilleståndsförlust (rad 8).</t>
        </r>
      </text>
    </comment>
    <comment ref="C6" authorId="0" shapeId="0" xr:uid="{F98EA67D-85D5-4FB8-8D67-DD198053D34F}">
      <text>
        <r>
          <rPr>
            <sz val="9"/>
            <color indexed="81"/>
            <rFont val="Tahoma"/>
            <family val="2"/>
          </rPr>
          <t>Rad 2 ska EJ inkludera värme för tappvarmvatten men INKLUSIVE VVC-förluster (totala) och stilleståndsförlust (rad 8).
Värmefaktor SCOP för VP måste fyllas i (flik C2 cell W6).</t>
        </r>
      </text>
    </comment>
    <comment ref="G6" authorId="0" shapeId="0" xr:uid="{F17CEA86-44BA-4B32-83A1-6C1289FBD201}">
      <text>
        <r>
          <rPr>
            <sz val="9"/>
            <color indexed="81"/>
            <rFont val="Tahoma"/>
            <family val="2"/>
          </rPr>
          <t>Observera att värmefaktorer för VP behöver fyllas i på flik C2, cell W6 och ev. W7.</t>
        </r>
      </text>
    </comment>
    <comment ref="C7" authorId="0" shapeId="0" xr:uid="{F59216FB-5A3A-4DAA-B91B-0DC3CE0C16B4}">
      <text>
        <r>
          <rPr>
            <sz val="9"/>
            <color indexed="81"/>
            <rFont val="Tahoma"/>
            <family val="2"/>
          </rPr>
          <t>Rad 3 ska EJ inkludera värme för tappvarmvatten men INKLUSIVE VVC-förluster (totala) och stilleståndsförlust (rad 8).</t>
        </r>
      </text>
    </comment>
    <comment ref="C8" authorId="0" shapeId="0" xr:uid="{338F97E2-C827-41A0-962F-AB4EFA5BFE7E}">
      <text>
        <r>
          <rPr>
            <sz val="9"/>
            <color indexed="81"/>
            <rFont val="Tahoma"/>
            <family val="2"/>
          </rPr>
          <t>Rad 4 ska EJ inkludera värme för tappvarmvatten men INKLUSIVE VVC-förluster (totala) och stilleståndsförlust (rad 8).</t>
        </r>
      </text>
    </comment>
    <comment ref="C9" authorId="0" shapeId="0" xr:uid="{203FE203-04BF-440E-8A8E-186AD6482F76}">
      <text>
        <r>
          <rPr>
            <sz val="9"/>
            <color indexed="81"/>
            <rFont val="Tahoma"/>
            <family val="2"/>
          </rPr>
          <t>Elvärme som ska inräknas, även om det debiteras hushållsel/verksamhetsel.</t>
        </r>
      </text>
    </comment>
    <comment ref="G9" authorId="0" shapeId="0" xr:uid="{F41E9FC2-9E9B-4AD2-AFB7-DF9D195F1403}">
      <text>
        <r>
          <rPr>
            <sz val="9"/>
            <color indexed="81"/>
            <rFont val="Tahoma"/>
            <family val="2"/>
          </rPr>
          <t>Resultat från separat mätning om sådan finns.</t>
        </r>
      </text>
    </comment>
    <comment ref="C11" authorId="0" shapeId="0" xr:uid="{62F14DED-062D-4D21-8E3B-9A202191617E}">
      <text>
        <r>
          <rPr>
            <sz val="9"/>
            <color indexed="81"/>
            <rFont val="Tahoma"/>
            <family val="2"/>
          </rPr>
          <t>Utöver vad som ingår i vädring och förluster ovan.</t>
        </r>
      </text>
    </comment>
    <comment ref="C18" authorId="0" shapeId="0" xr:uid="{9EB88107-0C19-4865-B18F-C41FC12E8222}">
      <text>
        <r>
          <rPr>
            <sz val="9"/>
            <color indexed="81"/>
            <rFont val="Tahoma"/>
            <family val="2"/>
          </rPr>
          <t>Resultat från UHM 1A, flikarna B1 och C2 samt Atemp-area från flik A.</t>
        </r>
      </text>
    </comment>
    <comment ref="C20" authorId="0" shapeId="0" xr:uid="{B1ADCEEF-E622-476F-B268-D32DAAF84220}">
      <text>
        <r>
          <rPr>
            <sz val="9"/>
            <color indexed="81"/>
            <rFont val="Tahoma"/>
            <family val="2"/>
          </rPr>
          <t>OBS! Värme levererad av värmepumpar (rad 2) är avräknat.</t>
        </r>
      </text>
    </comment>
    <comment ref="C21" authorId="0" shapeId="0" xr:uid="{307D9FC7-DA67-42BA-A34E-0B4FE234A5FA}">
      <text>
        <r>
          <rPr>
            <sz val="9"/>
            <color indexed="81"/>
            <rFont val="Tahoma"/>
            <family val="2"/>
          </rPr>
          <t xml:space="preserve">Exklusive VVC- och stilleståndsförluster. </t>
        </r>
      </text>
    </comment>
    <comment ref="G21" authorId="0" shapeId="0" xr:uid="{F2DF0176-69C1-4E54-A171-5DA708992750}">
      <text>
        <r>
          <rPr>
            <sz val="9"/>
            <color indexed="81"/>
            <rFont val="Tahoma"/>
            <family val="2"/>
          </rPr>
          <t>Normaliserat värde med hänsyn till värmefaktorer/verkningsgrader avloppsåtervinning och solbidrag.</t>
        </r>
      </text>
    </comment>
    <comment ref="C22" authorId="0" shapeId="0" xr:uid="{B6B4E51E-7B36-416A-A61C-A45A916C504C}">
      <text>
        <r>
          <rPr>
            <sz val="9"/>
            <color indexed="81"/>
            <rFont val="Tahoma"/>
            <family val="2"/>
          </rPr>
          <t>Från denna rad (14) ska VVC-förluster och stilleståndsförluster (från rad 8) avräknas.</t>
        </r>
      </text>
    </comment>
    <comment ref="G22" authorId="0" shapeId="0" xr:uid="{2096047C-7B22-4343-A30D-BCF68C6D7EEC}">
      <text>
        <r>
          <rPr>
            <sz val="9"/>
            <color indexed="81"/>
            <rFont val="Tahoma"/>
            <family val="2"/>
          </rPr>
          <t>Normaliserat värde med hänsyn till värmefaktorer/verkningsgrader avloppsåtervinning och solbidrag.</t>
        </r>
      </text>
    </comment>
    <comment ref="C23" authorId="0" shapeId="0" xr:uid="{96C039E8-71B7-48AD-9336-ED673AF5482D}">
      <text>
        <r>
          <rPr>
            <sz val="9"/>
            <color indexed="81"/>
            <rFont val="Tahoma"/>
            <family val="2"/>
          </rPr>
          <t>INKLUSIVE VVC-förluster och stilleståndsförluster (från rad 8).</t>
        </r>
      </text>
    </comment>
    <comment ref="C24" authorId="0" shapeId="0" xr:uid="{5C70ACF3-457B-49F8-AC12-9BA083C157EC}">
      <text>
        <r>
          <rPr>
            <sz val="9"/>
            <color indexed="81"/>
            <rFont val="Tahoma"/>
            <family val="2"/>
          </rPr>
          <t>El till VVC-förluster och stilleståndsförluster (rad 8) ska ingå.</t>
        </r>
      </text>
    </comment>
    <comment ref="C25" authorId="0" shapeId="0" xr:uid="{BAB3310F-10FD-4918-82C2-2B1E146DE8B9}">
      <text>
        <r>
          <rPr>
            <sz val="9"/>
            <color indexed="81"/>
            <rFont val="Tahoma"/>
            <family val="2"/>
          </rPr>
          <t>El som upptas på rad 14-16 samt 27-31 ska inte ingå.</t>
        </r>
      </text>
    </comment>
    <comment ref="C28" authorId="0" shapeId="0" xr:uid="{2A8CB5E0-BB0B-401C-B437-519CE21E352C}">
      <text>
        <r>
          <rPr>
            <sz val="9"/>
            <color indexed="81"/>
            <rFont val="Tahoma"/>
            <family val="2"/>
          </rPr>
          <t>Producerad förnybar energi på fastigheten och tillgodogjord för byggnadens energianvändning, (exkl. exporterad).</t>
        </r>
      </text>
    </comment>
    <comment ref="C31" authorId="0" shapeId="0" xr:uid="{9B102B25-AAA9-4FBE-B870-D8CEF3EB239C}">
      <text>
        <r>
          <rPr>
            <sz val="9"/>
            <color indexed="81"/>
            <rFont val="Tahoma"/>
            <family val="2"/>
          </rPr>
          <t>Poster som ingår i energianvändningen.</t>
        </r>
      </text>
    </comment>
    <comment ref="C32" authorId="0" shapeId="0" xr:uid="{99787570-D06E-421B-8C7B-7C3E4FC45633}">
      <text>
        <r>
          <rPr>
            <sz val="9"/>
            <color indexed="81"/>
            <rFont val="Tahoma"/>
            <family val="2"/>
          </rPr>
          <t>Beräknade värden matas in på flik B1, och uppmätta värden matas in på flik C2.</t>
        </r>
      </text>
    </comment>
    <comment ref="C38" authorId="0" shapeId="0" xr:uid="{818C1751-66BE-46F5-A400-293C7AF21100}">
      <text>
        <r>
          <rPr>
            <sz val="9"/>
            <color indexed="81"/>
            <rFont val="Tahoma"/>
            <family val="2"/>
          </rPr>
          <t>Poster som inte ska ingå i energianvändning. Kan dras av om storleken är känd.</t>
        </r>
      </text>
    </comment>
    <comment ref="C39" authorId="0" shapeId="0" xr:uid="{B6DAE12C-473A-424C-ABC9-E4EABEFD3EE6}">
      <text>
        <r>
          <rPr>
            <sz val="9"/>
            <color indexed="81"/>
            <rFont val="Tahoma"/>
            <family val="2"/>
          </rPr>
          <t>Bör flyttas till hushållsel.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9" authorId="0" shapeId="0" xr:uid="{BD1B9E6F-CB45-4A65-91D9-1D3051DB0E3D}">
      <text>
        <r>
          <rPr>
            <sz val="9"/>
            <color indexed="81"/>
            <rFont val="Tahoma"/>
            <family val="2"/>
          </rPr>
          <t>Ange temperaturverkningsgrad vid balanserade flöden. Ett avdrag på 3 %-enehter görs sedan i beräkningen (för avfrostning, nedsmutsning, obalans m.m.).</t>
        </r>
      </text>
    </comment>
    <comment ref="B10" authorId="0" shapeId="0" xr:uid="{CEF91826-A91B-40D1-A7AE-F79F0727707C}">
      <text>
        <r>
          <rPr>
            <sz val="9"/>
            <color indexed="81"/>
            <rFont val="Tahoma"/>
            <family val="2"/>
          </rPr>
          <t>Skriv in luftflöde motsvarande 0,35 l/sm</t>
        </r>
        <r>
          <rPr>
            <vertAlign val="superscript"/>
            <sz val="9"/>
            <color indexed="81"/>
            <rFont val="Tahoma"/>
            <family val="2"/>
          </rPr>
          <t>2</t>
        </r>
        <r>
          <rPr>
            <sz val="9"/>
            <color indexed="81"/>
            <rFont val="Tahoma"/>
            <family val="2"/>
          </rPr>
          <t>A</t>
        </r>
        <r>
          <rPr>
            <vertAlign val="subscript"/>
            <sz val="9"/>
            <color indexed="81"/>
            <rFont val="Tahoma"/>
            <family val="2"/>
          </rPr>
          <t>temp</t>
        </r>
        <r>
          <rPr>
            <sz val="9"/>
            <color indexed="81"/>
            <rFont val="Tahoma"/>
            <family val="2"/>
          </rPr>
          <t xml:space="preserve">.
</t>
        </r>
      </text>
    </comment>
    <comment ref="B11" authorId="0" shapeId="0" xr:uid="{7EEE8347-6FA4-4E09-A602-5859E3F11F85}">
      <text>
        <r>
          <rPr>
            <sz val="9"/>
            <color indexed="81"/>
            <rFont val="Tahoma"/>
            <family val="2"/>
          </rPr>
          <t>Behöver nedast anges vid obalans i luftflöden.</t>
        </r>
      </text>
    </comment>
    <comment ref="B12" authorId="0" shapeId="0" xr:uid="{D4778870-55B8-4FB5-8845-C35B722C9CB0}">
      <text>
        <r>
          <rPr>
            <sz val="9"/>
            <color indexed="81"/>
            <rFont val="Tahoma"/>
            <family val="2"/>
          </rPr>
          <t>Behöver nedast anges vid obalans i luftflöden.</t>
        </r>
      </text>
    </comment>
    <comment ref="B13" authorId="0" shapeId="0" xr:uid="{11A7FFAC-B8BC-44A3-BD96-F85974191DA2}">
      <text>
        <r>
          <rPr>
            <sz val="9"/>
            <color indexed="81"/>
            <rFont val="Tahoma"/>
            <family val="2"/>
          </rPr>
          <t xml:space="preserve">Luftflöde vid 50 Pa tryckskillnad. Värden från flik B2.
</t>
        </r>
      </text>
    </comment>
    <comment ref="M13" authorId="0" shapeId="0" xr:uid="{4CF12831-A979-40A1-98A7-00EDA9A8A246}">
      <text>
        <r>
          <rPr>
            <sz val="9"/>
            <color indexed="81"/>
            <rFont val="Tahoma"/>
            <family val="2"/>
          </rPr>
          <t>Minst sex mätperioder på minst en vecka med olika utetemperatur (enligt SS 24300-1).</t>
        </r>
      </text>
    </comment>
    <comment ref="N13" authorId="0" shapeId="0" xr:uid="{A39DF480-E835-4449-BDB0-8CC91D4FC1B0}">
      <text>
        <r>
          <rPr>
            <sz val="9"/>
            <color indexed="81"/>
            <rFont val="Tahoma"/>
            <family val="2"/>
          </rPr>
          <t>Periodlängd ska vara minst en vecka.</t>
        </r>
      </text>
    </comment>
    <comment ref="O13" authorId="0" shapeId="0" xr:uid="{91C6A6AA-65F1-48B5-B648-8F2DB00D1586}">
      <text>
        <r>
          <rPr>
            <sz val="9"/>
            <color indexed="81"/>
            <rFont val="Tahoma"/>
            <family val="2"/>
          </rPr>
          <t>Medeltemperatur under mätperioden.</t>
        </r>
      </text>
    </comment>
    <comment ref="P13" authorId="0" shapeId="0" xr:uid="{C2F7F12E-01F0-40DC-B62A-10B2C2058AAC}">
      <text>
        <r>
          <rPr>
            <sz val="9"/>
            <color indexed="81"/>
            <rFont val="Tahoma"/>
            <family val="2"/>
          </rPr>
          <t>Uppvärmningsenergi exkl. tappvarmvatten för mätperiioden.</t>
        </r>
      </text>
    </comment>
    <comment ref="Q13" authorId="0" shapeId="0" xr:uid="{33C33380-3522-4E0F-8FD5-DB7CF59BD114}">
      <text>
        <r>
          <rPr>
            <sz val="9"/>
            <color indexed="81"/>
            <rFont val="Tahoma"/>
            <family val="2"/>
          </rPr>
          <t>Omräkning av värme per mätperiod till värme per timme.</t>
        </r>
      </text>
    </comment>
    <comment ref="S13" authorId="0" shapeId="0" xr:uid="{2A15BE88-2836-402A-8C4F-7FCFD0E6A647}">
      <text>
        <r>
          <rPr>
            <sz val="9"/>
            <color indexed="81"/>
            <rFont val="Tahoma"/>
            <family val="2"/>
          </rPr>
          <t>Minst sex mätperioder på minst en vecka med olika utetemperatur (enligt SS 24300-1).</t>
        </r>
      </text>
    </comment>
    <comment ref="T13" authorId="0" shapeId="0" xr:uid="{48329F68-E9BC-4BAC-8CC6-36F38A3F23C5}">
      <text>
        <r>
          <rPr>
            <sz val="9"/>
            <color indexed="81"/>
            <rFont val="Tahoma"/>
            <family val="2"/>
          </rPr>
          <t>Periodlängd ska vara minst en vecka.</t>
        </r>
      </text>
    </comment>
    <comment ref="U13" authorId="0" shapeId="0" xr:uid="{7ACFB80B-C12F-4820-822B-64ABACEF110F}">
      <text>
        <r>
          <rPr>
            <sz val="9"/>
            <color indexed="81"/>
            <rFont val="Tahoma"/>
            <family val="2"/>
          </rPr>
          <t>Medeltemperatur under mätperioden.</t>
        </r>
      </text>
    </comment>
    <comment ref="V13" authorId="0" shapeId="0" xr:uid="{606A3182-2A65-466A-8387-CE6233411831}">
      <text>
        <r>
          <rPr>
            <sz val="9"/>
            <color indexed="81"/>
            <rFont val="Tahoma"/>
            <family val="2"/>
          </rPr>
          <t>Uppvärmningsenergi exkl. tappvarmvatten för mätperiioden.</t>
        </r>
      </text>
    </comment>
    <comment ref="W13" authorId="0" shapeId="0" xr:uid="{6F450C10-2933-4D66-B322-3B8E960F5CF5}">
      <text>
        <r>
          <rPr>
            <sz val="9"/>
            <color indexed="81"/>
            <rFont val="Tahoma"/>
            <family val="2"/>
          </rPr>
          <t>Omräkning av värme per mätperiod till värme per timme.</t>
        </r>
      </text>
    </comment>
    <comment ref="B14" authorId="0" shapeId="0" xr:uid="{3BEC4FF9-5201-46AB-90ED-91EFF096D7EA}">
      <text>
        <r>
          <rPr>
            <sz val="9"/>
            <color indexed="81"/>
            <rFont val="Tahoma"/>
            <family val="2"/>
          </rPr>
          <t xml:space="preserve">Fyll i värden från tabell 1 nedan.
</t>
        </r>
      </text>
    </comment>
    <comment ref="B15" authorId="0" shapeId="0" xr:uid="{87C6B5DC-63B6-42EE-9F53-BCB4F9213726}">
      <text>
        <r>
          <rPr>
            <sz val="9"/>
            <color indexed="81"/>
            <rFont val="Tahoma"/>
            <family val="2"/>
          </rPr>
          <t>Fyll i värden från tabell 1 nedan.</t>
        </r>
      </text>
    </comment>
    <comment ref="B16" authorId="0" shapeId="0" xr:uid="{15317A57-970A-4F3E-ADF7-5A2110009379}">
      <text>
        <r>
          <rPr>
            <sz val="9"/>
            <color indexed="81"/>
            <rFont val="Tahoma"/>
            <family val="2"/>
          </rPr>
          <t>Beräkning enligt formel nedan.</t>
        </r>
      </text>
    </comment>
    <comment ref="B17" authorId="0" shapeId="0" xr:uid="{21888F3B-BE9C-431B-9F16-650962BF8AA3}">
      <text>
        <r>
          <rPr>
            <sz val="9"/>
            <color indexed="81"/>
            <rFont val="Tahoma"/>
            <family val="2"/>
          </rPr>
          <t>Beräkning enligt formel nedan.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E4" authorId="0" shapeId="0" xr:uid="{00000000-0006-0000-0200-000001000000}">
      <text>
        <r>
          <rPr>
            <sz val="9"/>
            <color indexed="81"/>
            <rFont val="Tahoma"/>
            <family val="2"/>
          </rPr>
          <t>Flera bockar kan sättas på varje systemdel.</t>
        </r>
      </text>
    </comment>
    <comment ref="E8" authorId="1" shapeId="0" xr:uid="{00000000-0006-0000-0200-000002000000}">
      <text>
        <r>
          <rPr>
            <sz val="9"/>
            <color indexed="81"/>
            <rFont val="Tahoma"/>
            <family val="2"/>
          </rPr>
          <t>Hushålls- eller verksamhetsenergi som ska återföras till uppvärmning.</t>
        </r>
      </text>
    </comment>
    <comment ref="C24" authorId="2" shapeId="0" xr:uid="{8AEBFCAC-4B38-480D-BC01-C496BDA1C646}">
      <text>
        <r>
          <rPr>
            <sz val="9"/>
            <color indexed="81"/>
            <rFont val="Tahoma"/>
            <family val="2"/>
          </rPr>
          <t>Ska spegla byggnadens egenskaper före vidtagna åtgärder.</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author>
    <author>perle</author>
    <author>saralind</author>
    <author>peralevi</author>
  </authors>
  <commentList>
    <comment ref="R2" authorId="0" shapeId="0" xr:uid="{70FCF926-617D-43D8-8CA8-89AB8AF9874C}">
      <text>
        <r>
          <rPr>
            <sz val="9"/>
            <color indexed="81"/>
            <rFont val="Tahoma"/>
            <family val="2"/>
          </rPr>
          <t>Sveby/BENs brukarindata eller avsett (projekterat) brukande för lokalbyggnader.
Fyll i aktuella rader i denna kolumn.</t>
        </r>
      </text>
    </comment>
    <comment ref="S2" authorId="1" shapeId="0" xr:uid="{0C27E2C8-4CB2-4992-894A-1FD0626C5647}">
      <text>
        <r>
          <rPr>
            <sz val="9"/>
            <color indexed="81"/>
            <rFont val="Tahoma"/>
            <family val="2"/>
          </rPr>
          <t>Uppmätt indata, eller beräknat från uppmätt indata, i driftsatt byggnad.
Fyll i motsvarande rader som i kolumn V.</t>
        </r>
      </text>
    </comment>
    <comment ref="T2" authorId="0" shapeId="0" xr:uid="{A4EFAEB7-5FCA-4A18-AC61-9BAEDC80DE81}">
      <text>
        <r>
          <rPr>
            <sz val="9"/>
            <color indexed="81"/>
            <rFont val="Tahoma"/>
            <family val="2"/>
          </rPr>
          <t>Skillnad mellan beräknade/projekterade och uppmätta indatavärden.
Innetemperatur vinter, samt verksamhets-/hushållsel, används för schablonkorrigering enligt BEN om indata skrivits in.</t>
        </r>
      </text>
    </comment>
    <comment ref="AE2" authorId="2" shapeId="0" xr:uid="{6B2A66DF-4596-4F89-B375-FB4B0A59C163}">
      <text>
        <r>
          <rPr>
            <sz val="9"/>
            <color indexed="81"/>
            <rFont val="Tahoma"/>
            <family val="2"/>
          </rPr>
          <t>Viktat värde baserat på bostadsarea och lokalarea som angivits i fliken "Byggnadsinfo med BBR".</t>
        </r>
      </text>
    </comment>
    <comment ref="AF2" authorId="2" shapeId="0" xr:uid="{07AA7D3D-D605-41F9-9709-F8F3558AE670}">
      <text>
        <r>
          <rPr>
            <sz val="9"/>
            <color indexed="81"/>
            <rFont val="Tahoma"/>
            <family val="2"/>
          </rPr>
          <t>Beräknas enligt schablon i BEN 2, baserat på angivna data i fliken "Basdata &amp; Resultat".</t>
        </r>
      </text>
    </comment>
    <comment ref="AG2" authorId="2" shapeId="0" xr:uid="{F3165D0B-CD34-4DC3-9A22-30D19FB4585C}">
      <text>
        <r>
          <rPr>
            <sz val="9"/>
            <color indexed="81"/>
            <rFont val="Tahoma"/>
            <family val="2"/>
          </rPr>
          <t>Baseras på mätdata i kolumn V., korrigerat till normalt brukande. Underlag från mätning ska bifogas.</t>
        </r>
      </text>
    </comment>
    <comment ref="AH2" authorId="2" shapeId="0" xr:uid="{1C172CB0-40D0-4D43-8DE3-169DF2D8F811}">
      <text>
        <r>
          <rPr>
            <sz val="9"/>
            <color indexed="81"/>
            <rFont val="Tahoma"/>
            <family val="2"/>
          </rPr>
          <t>Beräknas med angivet COP/verkningsgrad för TVV i ruta AC6.
Värdena förs vidare till "Resultat mätning".</t>
        </r>
      </text>
    </comment>
    <comment ref="V6" authorId="3" shapeId="0" xr:uid="{7534A2CD-17D2-47BF-9AF1-2E3188B331ED}">
      <text>
        <r>
          <rPr>
            <sz val="9"/>
            <color indexed="81"/>
            <rFont val="Tahoma"/>
            <family val="2"/>
          </rPr>
          <t xml:space="preserve">Används bara för korrigering till normal hushålls-/verksamhetsel i kolumn AC.
</t>
        </r>
      </text>
    </comment>
    <comment ref="V7" authorId="3" shapeId="0" xr:uid="{D6FC0C64-5D7B-4D87-9D34-DB9F2F384E6C}">
      <text>
        <r>
          <rPr>
            <sz val="9"/>
            <color indexed="81"/>
            <rFont val="Tahoma"/>
            <family val="2"/>
          </rPr>
          <t>Skriv in medelverkningsgraden för tappvarmvatten. Används för att räkna ut normalt TVV samt elanvändningen för tappvarmvatten (kolumn X). 
Vid okänt värde använd BEN-värden från tabellen bredvid (till höger).</t>
        </r>
      </text>
    </comment>
    <comment ref="A10" authorId="1" shapeId="0" xr:uid="{5DDB2BCF-565F-4F87-8573-0C41B8C457AC}">
      <text>
        <r>
          <rPr>
            <sz val="9"/>
            <color indexed="81"/>
            <rFont val="Tahoma"/>
            <family val="2"/>
          </rPr>
          <t>Använd denna rad för korta förtydliganden av mätningarna. Även fälten ovanför tabellen kan användas.
Ange t.ex. mätning med debiteringsmätare (DM) eller undermätare (UM), eller fördelat värde (F). Underlag till fördelat värde ska redovisas.
Andra förtydliganden är VM för volymmätning och VVM för värmemängdsmätning eller EM för energimätning.</t>
        </r>
      </text>
    </comment>
    <comment ref="B11" authorId="3" shapeId="0" xr:uid="{05FA3AEC-4D5F-4E85-9284-CA418A451CCD}">
      <text>
        <r>
          <rPr>
            <sz val="9"/>
            <color indexed="81"/>
            <rFont val="Tahoma"/>
            <family val="2"/>
          </rPr>
          <t>Köpt färrvärmei, förutsätter att tappvarmvatten och VVC ingår (dras av i kolumn L och P). 
Om tvv och VVC inte ingår här behöver de adderas för att komma med.
Det som inte ingår kan dras av i kolumn G.</t>
        </r>
      </text>
    </comment>
    <comment ref="C11" authorId="3" shapeId="0" xr:uid="{8D08DC05-60AC-4EAD-A9BC-6765DB540F0E}">
      <text>
        <r>
          <rPr>
            <sz val="9"/>
            <color indexed="81"/>
            <rFont val="Tahoma"/>
            <family val="2"/>
          </rPr>
          <t>All köpt el till byggnaden.
Avdrag och tillägg görs i avsedda kolumner till höger om denna.</t>
        </r>
      </text>
    </comment>
    <comment ref="D11" authorId="3" shapeId="0" xr:uid="{DDF2FAD9-0E76-4E9D-9D90-C6D9A475AA4A}">
      <text>
        <r>
          <rPr>
            <sz val="9"/>
            <color indexed="81"/>
            <rFont val="Tahoma"/>
            <family val="2"/>
          </rPr>
          <t xml:space="preserve">Köpt fjärrkyla till byggnaden. Avdrag och tillägg kan göras i avsedda kolumner till höger om denna.
</t>
        </r>
      </text>
    </comment>
    <comment ref="E11" authorId="3" shapeId="0" xr:uid="{1A130FCC-B328-4534-89D7-B9FE265FF8DD}">
      <text>
        <r>
          <rPr>
            <sz val="9"/>
            <color indexed="81"/>
            <rFont val="Tahoma"/>
            <family val="2"/>
          </rPr>
          <t>Biobränsle som använts i byggnaden (även gratisved).</t>
        </r>
      </text>
    </comment>
    <comment ref="F11" authorId="3" shapeId="0" xr:uid="{19969FD1-1F26-452D-8163-147076A4B09B}">
      <text>
        <r>
          <rPr>
            <sz val="9"/>
            <color indexed="81"/>
            <rFont val="Tahoma"/>
            <family val="2"/>
          </rPr>
          <t xml:space="preserve">Om både fossil olja och fossil gas förekommer får dessa adderas här.
</t>
        </r>
      </text>
    </comment>
    <comment ref="G11" authorId="3" shapeId="0" xr:uid="{26DFE654-675C-4BEF-B56B-7B12A7779E09}">
      <text>
        <r>
          <rPr>
            <sz val="9"/>
            <color indexed="81"/>
            <rFont val="Tahoma"/>
            <family val="2"/>
          </rPr>
          <t>Använd denna kolumn för el till värmepump, som kan göra  tappvarmvatten, värme, eller bägge..
Dras av från köpt el.</t>
        </r>
      </text>
    </comment>
    <comment ref="H11" authorId="3" shapeId="0" xr:uid="{8E3DF699-D945-492F-8273-832B473C2F1E}">
      <text>
        <r>
          <rPr>
            <sz val="9"/>
            <color indexed="81"/>
            <rFont val="Tahoma"/>
            <family val="2"/>
          </rPr>
          <t>Vidareleveranser eller annat som inte ska ingå kan dras av här.</t>
        </r>
      </text>
    </comment>
    <comment ref="I11" authorId="3" shapeId="0" xr:uid="{5CDE3521-8D18-4257-B2D9-25EC2424E6C8}">
      <text>
        <r>
          <rPr>
            <sz val="9"/>
            <color indexed="81"/>
            <rFont val="Tahoma"/>
            <family val="2"/>
          </rPr>
          <t>Här kan el som inte ingår dras av alternativt el som ska ingå men ligger på annan mätare läggas till (inmatning med minustecken i det senare fallet).</t>
        </r>
      </text>
    </comment>
    <comment ref="J11" authorId="3" shapeId="0" xr:uid="{D27AF7E1-1492-4273-807B-8223CFD794E8}">
      <text>
        <r>
          <rPr>
            <sz val="9"/>
            <color indexed="81"/>
            <rFont val="Tahoma"/>
            <family val="2"/>
          </rPr>
          <t xml:space="preserve">Processfjärrkyla eller vidareleveranser till annan byggnad, om sådana finns. Dras av från fjärrkyla.
</t>
        </r>
      </text>
    </comment>
    <comment ref="K11" authorId="2" shapeId="0" xr:uid="{D6E230EF-8220-4F03-99E5-A76ECB631581}">
      <text>
        <r>
          <rPr>
            <sz val="9"/>
            <color indexed="81"/>
            <rFont val="Tahoma"/>
            <family val="2"/>
          </rPr>
          <t>Tillägg respektive avdrag för värmeposter som ska respektive inte ska ingå i byggnadens energianvändning enligt BBR:s definition. 
Exempelvis trottoarvärmeslingor och poolvärme.
Aktuella poster och sammanställning ska visas separat.</t>
        </r>
      </text>
    </comment>
    <comment ref="L11" authorId="3" shapeId="0" xr:uid="{C527C4C5-4D5A-4C36-9AB8-D608A049C777}">
      <text>
        <r>
          <rPr>
            <sz val="9"/>
            <color indexed="81"/>
            <rFont val="Tahoma"/>
            <family val="2"/>
          </rPr>
          <t xml:space="preserve">Tillägg respektive avdrag för värmeposter som ska respektive inte ska ingå i byggnadens energianvändning enligt BBR:s definition. 
Exempelvis trottoarvärmeslingor och poolvärme.
Aktuella poster och sammanställning ska visas separat.
</t>
        </r>
      </text>
    </comment>
    <comment ref="M11" authorId="2" shapeId="0" xr:uid="{D672AD60-AC96-4518-9795-F83DFFEA20EE}">
      <text>
        <r>
          <rPr>
            <sz val="9"/>
            <color indexed="81"/>
            <rFont val="Tahoma"/>
            <family val="2"/>
          </rPr>
          <t>Från momentan mätning eller loggning.
Dras av från köpt värme och läggs sedan tillbaka utan att normalårskorrigeras.</t>
        </r>
      </text>
    </comment>
    <comment ref="N11" authorId="3" shapeId="0" xr:uid="{F6B82F85-0DBD-4CEC-9BCF-3B5A19588FA1}">
      <text>
        <r>
          <rPr>
            <sz val="9"/>
            <color indexed="81"/>
            <rFont val="Tahoma"/>
            <family val="2"/>
          </rPr>
          <t xml:space="preserve">Från momentan mätning eller loggning.
Dras av från köpt värme och läggs sedan tillbaka utan att normalårskorrigeras.
</t>
        </r>
      </text>
    </comment>
    <comment ref="O11" authorId="3" shapeId="0" xr:uid="{A6ABDBFA-ADCA-4DAF-90F3-39102EA59ED2}">
      <text>
        <r>
          <rPr>
            <sz val="9"/>
            <color indexed="81"/>
            <rFont val="Tahoma"/>
            <family val="2"/>
          </rPr>
          <t>Från momentan mätning eller loggning.
Dras av från köpt värme och läggs sedan tillbaka utan att normalårskorrigeras.</t>
        </r>
      </text>
    </comment>
    <comment ref="P11" authorId="3" shapeId="0" xr:uid="{3FCA702F-8EA8-4A9E-B41F-30B8481E0C24}">
      <text>
        <r>
          <rPr>
            <sz val="9"/>
            <color indexed="81"/>
            <rFont val="Tahoma"/>
            <family val="2"/>
          </rPr>
          <t xml:space="preserve">Från momentan mätning eller loggning.
Dras av från köpt värme och läggs sedan tillbaka utan att normalårskorrigeras.
</t>
        </r>
      </text>
    </comment>
    <comment ref="Q11" authorId="3" shapeId="0" xr:uid="{12A47D65-A420-4FB9-B81E-EB1DF83437E5}">
      <text>
        <r>
          <rPr>
            <sz val="9"/>
            <color indexed="81"/>
            <rFont val="Tahoma"/>
            <family val="2"/>
          </rPr>
          <t>Skriv in volymmätning i m3 i denna kolumn. 
Räkna sedan ut kWh för aktuell energibärare, t.ex genom att multiplicera med 55, eller mer detaljerad metod.</t>
        </r>
      </text>
    </comment>
    <comment ref="R11" authorId="0" shapeId="0" xr:uid="{8968D2E5-4A66-49CE-9913-8A3AB2E1D464}">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S11" authorId="3" shapeId="0" xr:uid="{51ECAECF-8F6F-4F18-8312-AA50C8669027}">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T11" authorId="3" shapeId="0" xr:uid="{F70313DF-1E1D-4DB2-BFF7-8E76F0FC8FA3}">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U11" authorId="3" shapeId="0" xr:uid="{EC4A6D90-3CBF-4EFA-A716-715C33E4CCE4}">
      <text>
        <r>
          <rPr>
            <sz val="9"/>
            <color indexed="81"/>
            <rFont val="Tahoma"/>
            <family val="2"/>
          </rPr>
          <t>Beräknat från mätning av tappvarmvattenflöde alt. energimätning.
VVC och omvandlingsförluster ska inte ingå här. De ingår i uppvärmning, om inte VVC särredovisas.</t>
        </r>
      </text>
    </comment>
    <comment ref="V11" authorId="3" shapeId="0" xr:uid="{955C2CAD-92AC-4036-BE5E-7F13F54A7329}">
      <text>
        <r>
          <rPr>
            <sz val="9"/>
            <color indexed="81"/>
            <rFont val="Tahoma"/>
            <family val="2"/>
          </rPr>
          <t xml:space="preserve">Skriv in tillgodogjord energi från solvärme och/eller avloppsvärmeväxlare till TVV. Detta kommer att tillgodoräknas efter normalisering. Underlag från mätningar bör bifogas.
</t>
        </r>
      </text>
    </comment>
    <comment ref="W11" authorId="3" shapeId="0" xr:uid="{180C1487-84E0-4967-81E5-2378EBFE435F}">
      <text>
        <r>
          <rPr>
            <sz val="9"/>
            <color indexed="81"/>
            <rFont val="Tahoma"/>
            <family val="2"/>
          </rPr>
          <t>Fjärrvärme till byggnadens uppvärmning exkl. VVC, tappvarmvatten m.m.</t>
        </r>
      </text>
    </comment>
    <comment ref="X11" authorId="3" shapeId="0" xr:uid="{53CDFEBC-E7AF-42F7-A2B9-58682BED0FC1}">
      <text>
        <r>
          <rPr>
            <sz val="9"/>
            <color indexed="81"/>
            <rFont val="Tahoma"/>
            <family val="2"/>
          </rPr>
          <t xml:space="preserve">Eluppvärmning för byggnaden. Exkl. el för VVC, tappvarmvatten, kyla, fastighetselenergi m.m.
</t>
        </r>
      </text>
    </comment>
    <comment ref="Y11" authorId="3" shapeId="0" xr:uid="{34BC7FF8-E12D-483C-903F-6D9B0509371B}">
      <text>
        <r>
          <rPr>
            <sz val="9"/>
            <color indexed="81"/>
            <rFont val="Tahoma"/>
            <family val="2"/>
          </rPr>
          <t xml:space="preserve">Biobränsle till byggnadens uppvärmning exkl. VVC, tappvarmvatten m.m.
</t>
        </r>
      </text>
    </comment>
    <comment ref="Z11" authorId="3" shapeId="0" xr:uid="{082B7C26-A0FF-415D-A378-ADA6F5884287}">
      <text>
        <r>
          <rPr>
            <sz val="9"/>
            <color indexed="81"/>
            <rFont val="Tahoma"/>
            <family val="2"/>
          </rPr>
          <t xml:space="preserve">Olja och gas till byggnadens uppvärmning exkl. VVC, tappvarmvatten m.m.
</t>
        </r>
      </text>
    </comment>
    <comment ref="AA11" authorId="0" shapeId="0" xr:uid="{022C89A2-1698-48F0-A84D-6F225B79CF4F}">
      <text>
        <r>
          <rPr>
            <sz val="9"/>
            <color indexed="81"/>
            <rFont val="Tahoma"/>
            <family val="2"/>
          </rPr>
          <t xml:space="preserve">Summan av alla energibärare.
Korrigerat för ev. tappvarmvatten, VVC  och BBR-avgränsning.
</t>
        </r>
      </text>
    </comment>
    <comment ref="AB11" authorId="3" shapeId="0" xr:uid="{A38D20C5-25E0-4A5C-A54B-3DA0DA8DB112}">
      <text>
        <r>
          <rPr>
            <sz val="9"/>
            <color indexed="81"/>
            <rFont val="Tahoma"/>
            <family val="2"/>
          </rPr>
          <t>Korrektion för ev. avvikelse från normal eller avsedd innetemperatur (BEN=5% per grad).
Beräknas baserat på angivna data i tabellen ovan.
Får ej nyttjas om orsaken är installationstekniska brister.</t>
        </r>
      </text>
    </comment>
    <comment ref="AC11" authorId="3" shapeId="0" xr:uid="{569DCC4B-085E-41F5-8E70-7002284B55C5}">
      <text>
        <r>
          <rPr>
            <sz val="9"/>
            <color indexed="81"/>
            <rFont val="Tahoma"/>
            <family val="2"/>
          </rPr>
          <t>Vid avvikande hushållsel eller verksamhetsel enligt formel i BEN. 
Beräknas enligt angivna data i tabellen ovanför.</t>
        </r>
      </text>
    </comment>
    <comment ref="AD11" authorId="1" shapeId="0" xr:uid="{6CD168CA-78C5-44AE-83FA-CF726F6F5143}">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och ort i rutorna F6 och F7.</t>
        </r>
      </text>
    </comment>
    <comment ref="AE11" authorId="0" shapeId="0" xr:uid="{87A2D741-07E1-4506-837A-84971A4431CE}">
      <text>
        <r>
          <rPr>
            <sz val="9"/>
            <color indexed="81"/>
            <rFont val="Tahoma"/>
            <family val="2"/>
          </rPr>
          <t>Brukar- och klimatnormaliserad uppvärmning
Ger verifierad uppvärmning som ska kunna jämföras med beräknad.</t>
        </r>
      </text>
    </comment>
    <comment ref="AF11" authorId="2" shapeId="0" xr:uid="{986814F1-DFBA-4FE4-B5A1-C98CB9BC02E0}">
      <text>
        <r>
          <rPr>
            <sz val="9"/>
            <color indexed="81"/>
            <rFont val="Tahoma"/>
            <family val="2"/>
          </rPr>
          <t>Månads- eller årsvärde från relations-energiberäkningen.
Ska kunna jämföras med kolumn AC.</t>
        </r>
      </text>
    </comment>
    <comment ref="AG11" authorId="1" shapeId="0" xr:uid="{ADF01DFA-E33B-4911-89D2-0DCAA61B8C38}">
      <text>
        <r>
          <rPr>
            <sz val="9"/>
            <color indexed="81"/>
            <rFont val="Tahoma"/>
            <family val="2"/>
          </rPr>
          <t>Skriv in levererad solvärmeenergi. Har normalt redan tillgodogjorts. Separat redovisning för prestandakontroll.</t>
        </r>
      </text>
    </comment>
    <comment ref="AH11" authorId="2" shapeId="0" xr:uid="{E5B70876-1150-4ECF-BBAE-BF2D5729084A}">
      <text>
        <r>
          <rPr>
            <sz val="9"/>
            <color indexed="81"/>
            <rFont val="Tahoma"/>
            <family val="2"/>
          </rPr>
          <t>Tillägg respektive avdrag för poster som ska respektive inte ska ingå i byggnadens energianvändning enligt BBR:s definition.  Ex. varmvatten till pool eller till annan byggnad.
Avdrag matas in med minustecken.</t>
        </r>
      </text>
    </comment>
    <comment ref="AI11" authorId="3" shapeId="0" xr:uid="{C7638A73-DB71-4C4D-80F5-404525ED2406}">
      <text>
        <r>
          <rPr>
            <sz val="9"/>
            <color indexed="81"/>
            <rFont val="Tahoma"/>
            <family val="2"/>
          </rPr>
          <t>Summa uppmätt tappvarmvattenanvändning
med alla energibärare.</t>
        </r>
      </text>
    </comment>
    <comment ref="AJ11" authorId="2" shapeId="0" xr:uid="{64293305-AEF8-4CBE-BC8F-1D916E8DD2D9}">
      <text>
        <r>
          <rPr>
            <sz val="9"/>
            <color indexed="81"/>
            <rFont val="Tahoma"/>
            <family val="2"/>
          </rPr>
          <t>Ytterligare en möjlighet att dra av eller lägga till el som inte ingår resp ska ingå. 
Avdrag skrivs in med minustecken.
Sammanställning  med aktuella delposter redovisas separat.</t>
        </r>
      </text>
    </comment>
    <comment ref="AK11" authorId="0" shapeId="0" xr:uid="{E7F414A5-7102-4D83-A339-0BA7D4001A37}">
      <text>
        <r>
          <rPr>
            <sz val="9"/>
            <color indexed="81"/>
            <rFont val="Tahoma"/>
            <family val="2"/>
          </rPr>
          <t>Enligt BBR-definitionen. Kolumnen blir en restpost när el till värme, kyla, VVC och tappvarmvatten dragits av, se resp. kolumn.</t>
        </r>
      </text>
    </comment>
    <comment ref="AL11" authorId="3" shapeId="0" xr:uid="{AFC73539-B2C0-48A9-A8AB-66A6D24BFD09}">
      <text>
        <r>
          <rPr>
            <sz val="9"/>
            <color indexed="81"/>
            <rFont val="Tahoma"/>
            <family val="2"/>
          </rPr>
          <t xml:space="preserve">Från relations-energiberäkningen.
</t>
        </r>
      </text>
    </comment>
    <comment ref="AM11" authorId="0" shapeId="0" xr:uid="{D76DDB2A-261E-4D3E-9DB0-538DD2594F18}">
      <text>
        <r>
          <rPr>
            <sz val="9"/>
            <color indexed="81"/>
            <rFont val="Tahoma"/>
            <family val="2"/>
          </rPr>
          <t>Normalt redan tillgodogjord el. Separat redovisning för prestandakontroll.</t>
        </r>
      </text>
    </comment>
    <comment ref="AN11" authorId="3" shapeId="0" xr:uid="{9EE91BD6-A339-4A43-816F-812D9AAA3D37}">
      <text>
        <r>
          <rPr>
            <sz val="9"/>
            <color indexed="81"/>
            <rFont val="Tahoma"/>
            <family val="2"/>
          </rPr>
          <t xml:space="preserve">Separat redovisning för normalisering.
</t>
        </r>
      </text>
    </comment>
    <comment ref="AO11" authorId="0" shapeId="0" xr:uid="{49E4680E-54B7-4E7E-9ADA-6085390857A5}">
      <text>
        <r>
          <rPr>
            <sz val="9"/>
            <color indexed="81"/>
            <rFont val="Tahoma"/>
            <family val="2"/>
          </rPr>
          <t>Från undermätning.</t>
        </r>
      </text>
    </comment>
    <comment ref="AP11" authorId="0" shapeId="0" xr:uid="{86ABA378-BEAC-4C4C-B2A8-75CD00AA111A}">
      <text>
        <r>
          <rPr>
            <sz val="9"/>
            <color indexed="81"/>
            <rFont val="Tahoma"/>
            <family val="2"/>
          </rPr>
          <t>Övrig kyla för verksamheten eller vidareleverans som ska dras av .</t>
        </r>
      </text>
    </comment>
    <comment ref="AQ11" authorId="3" shapeId="0" xr:uid="{C4FF2FA1-C511-4E32-A635-13BB406F8B99}">
      <text>
        <r>
          <rPr>
            <sz val="9"/>
            <color indexed="81"/>
            <rFont val="Tahoma"/>
            <family val="2"/>
          </rPr>
          <t xml:space="preserve">Beräknas utifrån köpt fjärrkyla med avdrag för processkyla och vidareleveranser (kolumnerna D och J).
</t>
        </r>
      </text>
    </comment>
    <comment ref="AR11" authorId="2" shapeId="0" xr:uid="{A92EBB65-234A-4001-8967-98ABA87B94B3}">
      <text>
        <r>
          <rPr>
            <sz val="9"/>
            <color indexed="81"/>
            <rFont val="Tahoma"/>
            <family val="2"/>
          </rPr>
          <t>Uppmätt komfortkyla med el, process m.m. avdraget (kolumnerna AO och AP). Vid beräkning av primärenergitalet räknas dessa siffror upp med en faktor 1,875 enligt BBR 25 (dock inte för BBR 29)  för icke elvärmda byggnader.</t>
        </r>
      </text>
    </comment>
    <comment ref="AS11" authorId="3" shapeId="0" xr:uid="{02C4A01E-FC45-4DA1-8C2D-22215322D346}">
      <text>
        <r>
          <rPr>
            <sz val="9"/>
            <color indexed="81"/>
            <rFont val="Tahoma"/>
            <family val="2"/>
          </rPr>
          <t xml:space="preserve">Aktuell månad dividerat med normalmånad. SMHI kylindex eller motsv.
</t>
        </r>
      </text>
    </comment>
    <comment ref="AT11" authorId="3" shapeId="0" xr:uid="{1DC46D79-2AED-4E66-8E0C-D1272AC8BB99}">
      <text>
        <r>
          <rPr>
            <sz val="9"/>
            <color indexed="81"/>
            <rFont val="Tahoma"/>
            <family val="2"/>
          </rPr>
          <t xml:space="preserve">Normalmånadskorrigerad och brukarkorrigerad fjärrkyla för komfortkyla. </t>
        </r>
      </text>
    </comment>
    <comment ref="AU11" authorId="3" shapeId="0" xr:uid="{CB499447-E914-416D-BCD0-24B9A0AB0BEC}">
      <text>
        <r>
          <rPr>
            <sz val="9"/>
            <color indexed="81"/>
            <rFont val="Tahoma"/>
            <family val="2"/>
          </rPr>
          <t xml:space="preserve">Normalmånadskorrigerad och brukarkorrigerad elkyla för komfortkyla. </t>
        </r>
      </text>
    </comment>
    <comment ref="AV11" authorId="2" shapeId="0" xr:uid="{51003761-8301-409D-A9BF-DD7B3E287483}">
      <text>
        <r>
          <rPr>
            <sz val="9"/>
            <color indexed="81"/>
            <rFont val="Tahoma"/>
            <family val="2"/>
          </rPr>
          <t>Beräknat behov av komfortfjärrkyla enligt relationsenergiberäkning.</t>
        </r>
      </text>
    </comment>
    <comment ref="AW11" authorId="3" shapeId="0" xr:uid="{BCFD49E0-2AA4-4806-9CCB-20F37995E4FA}">
      <text>
        <r>
          <rPr>
            <sz val="9"/>
            <color indexed="81"/>
            <rFont val="Tahoma"/>
            <family val="2"/>
          </rPr>
          <t xml:space="preserve">Beräknat behov av elkomfortkyla enligt relationsenergiberäkningen. Inmatade värden här ska </t>
        </r>
        <r>
          <rPr>
            <b/>
            <sz val="9"/>
            <color indexed="81"/>
            <rFont val="Tahoma"/>
            <family val="2"/>
          </rPr>
          <t>inte</t>
        </r>
        <r>
          <rPr>
            <sz val="9"/>
            <color indexed="81"/>
            <rFont val="Tahoma"/>
            <family val="2"/>
          </rPr>
          <t xml:space="preserve"> uppräknas här vid icke elvärmd byggnad.</t>
        </r>
      </text>
    </comment>
    <comment ref="AX11" authorId="1" shapeId="0" xr:uid="{9CCAF85F-ECEE-4B10-A2F8-8826E9DC026D}">
      <text>
        <r>
          <rPr>
            <sz val="9"/>
            <color indexed="81"/>
            <rFont val="Tahoma"/>
            <family val="2"/>
          </rPr>
          <t xml:space="preserve">Möjlighet att ange producerad frikyla för prestandaredovisning.
</t>
        </r>
      </text>
    </comment>
    <comment ref="A25" authorId="2" shapeId="0" xr:uid="{09652575-A62A-46EE-86B4-9B83675D6C67}">
      <text>
        <r>
          <rPr>
            <sz val="9"/>
            <color indexed="81"/>
            <rFont val="Tahoma"/>
            <family val="2"/>
          </rPr>
          <t>Om månadsvärden saknas kan helårsvärden matas in på denna rad.
Om helårsvärden matas in, så tar dessa över i rad 26 samt i sammanställningen i flik C1.</t>
        </r>
      </text>
    </comment>
    <comment ref="AC25" authorId="3" shapeId="0" xr:uid="{E3271B6C-BD3F-4B39-BC6D-DC42A439B24E}">
      <text>
        <r>
          <rPr>
            <sz val="9"/>
            <color indexed="81"/>
            <rFont val="Tahoma"/>
            <family val="2"/>
          </rPr>
          <t xml:space="preserve">Antagit 8 månaders uppvärmningssäsong för helåret.
</t>
        </r>
      </text>
    </comment>
    <comment ref="A39" authorId="3" shapeId="0" xr:uid="{C22A732B-D94A-4D70-9708-EF1A31A03697}">
      <text>
        <r>
          <rPr>
            <sz val="9"/>
            <color indexed="81"/>
            <rFont val="Tahoma"/>
            <family val="2"/>
          </rPr>
          <t xml:space="preserve">Om månadsvärden saknas kan helårsvärden matas in på denna rad.
</t>
        </r>
      </text>
    </comment>
    <comment ref="AC39" authorId="3" shapeId="0" xr:uid="{1614B3FD-8695-49C6-9536-100EE04B2BE1}">
      <text>
        <r>
          <rPr>
            <sz val="9"/>
            <color indexed="81"/>
            <rFont val="Tahoma"/>
            <family val="2"/>
          </rPr>
          <t>Antagit 8 månaders uppvärmningssäsong för helåret.</t>
        </r>
      </text>
    </comment>
    <comment ref="A53" authorId="3" shapeId="0" xr:uid="{A1E4B90E-712D-46CA-ACAD-4668E0738099}">
      <text>
        <r>
          <rPr>
            <sz val="9"/>
            <color indexed="81"/>
            <rFont val="Tahoma"/>
            <family val="2"/>
          </rPr>
          <t xml:space="preserve">Om månadsvärden saknas kan helårsvärden matas in på denna rad.
</t>
        </r>
      </text>
    </comment>
    <comment ref="AC53" authorId="3" shapeId="0" xr:uid="{09C261B0-21B5-45E6-843C-B5717C77CEF4}">
      <text>
        <r>
          <rPr>
            <sz val="9"/>
            <color indexed="81"/>
            <rFont val="Tahoma"/>
            <family val="2"/>
          </rPr>
          <t xml:space="preserve">Antagit 8 månaders uppvärmningssäsong för helåret.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
Värdena dokumenterar uppmätta brukarindata som använts i den upprepade energiberäkningen.</t>
        </r>
      </text>
    </comment>
    <comment ref="F8" authorId="0" shapeId="0" xr:uid="{00000000-0006-0000-0400-000004000000}">
      <text>
        <r>
          <rPr>
            <sz val="9"/>
            <color indexed="81"/>
            <rFont val="Tahoma"/>
            <family val="2"/>
          </rPr>
          <t xml:space="preserve">Skillnad mellan beräknade/projekterade och uppmätta indatavärden.
Avvikelserna är endast för dokumentation här.
</t>
        </r>
      </text>
    </comment>
    <comment ref="H8" authorId="2" shapeId="0" xr:uid="{BA033054-0F9F-4D19-935F-3BBE5F028BD5}">
      <text>
        <r>
          <rPr>
            <sz val="9"/>
            <color indexed="81"/>
            <rFont val="Tahoma"/>
            <family val="2"/>
          </rPr>
          <t xml:space="preserve">Vägledning till om avvikelsen behöver beaktas eller inte.
</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Från fliken B1.  Resultat beräkning.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Fyll i 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<sst xmlns="http://schemas.openxmlformats.org/spreadsheetml/2006/main" count="1653" uniqueCount="992">
  <si>
    <t xml:space="preserve">                                 </t>
  </si>
  <si>
    <t>Energihjälpen energispar – Formulär för granskning och verifiering av energiprestanda vid energirenovering av byggnader</t>
  </si>
  <si>
    <r>
      <t>Detta formulär</t>
    </r>
    <r>
      <rPr>
        <sz val="10"/>
        <color rgb="FF000000"/>
        <rFont val="Franklin Gothic Book"/>
        <family val="2"/>
      </rPr>
      <t> är tänkt som ett sammanställt gransknings-, uppföljnings- och verifieringsunderlag att fyllas i av byggherren med hjälp av de som utför energiberäkning, projektering och mätning, ingå i kontrollplanen och bifogas vid redovisning inför startbesked, eller i ett något senare skede. Formuläret uppdateras inför genomgång inför slutbesked med de ändringar som skett under processens gång. Det är även ett underlag för verifiering av energikraven i energideklarationen, genom mätning eller beräkning.</t>
    </r>
  </si>
  <si>
    <t>Sammanfattning energikrav och kravuppfyllelse</t>
  </si>
  <si>
    <t>Projektspecifika anteckningar</t>
  </si>
  <si>
    <t>Byggnads- och fastighetsbeteckning</t>
  </si>
  <si>
    <t>Byggnadskategori (-er)</t>
  </si>
  <si>
    <t>Kommun</t>
  </si>
  <si>
    <t>BBR-version</t>
  </si>
  <si>
    <t>Referens före åtgärd</t>
  </si>
  <si>
    <t>Efter renovering</t>
  </si>
  <si>
    <t>Uppmätt och normaliserat</t>
  </si>
  <si>
    <t>Beräknat</t>
  </si>
  <si>
    <t>Verifierat genom mätning</t>
  </si>
  <si>
    <t>Beräknad energi-besparing, %</t>
  </si>
  <si>
    <t xml:space="preserve"> Uppmätt energi-besparing, %</t>
  </si>
  <si>
    <r>
      <t>Primärenergital, EP</t>
    </r>
    <r>
      <rPr>
        <vertAlign val="subscript"/>
        <sz val="10"/>
        <color theme="1"/>
        <rFont val="Franklin Gothic Demi"/>
        <family val="2"/>
      </rPr>
      <t xml:space="preserve">PET  </t>
    </r>
    <r>
      <rPr>
        <sz val="10"/>
        <color theme="1"/>
        <rFont val="Franklin Gothic Demi"/>
        <family val="2"/>
      </rPr>
      <t>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</si>
  <si>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Energiklass</t>
  </si>
  <si>
    <r>
      <t>U</t>
    </r>
    <r>
      <rPr>
        <vertAlign val="subscript"/>
        <sz val="10"/>
        <color theme="1"/>
        <rFont val="Franklin Gothic Demi"/>
        <family val="2"/>
      </rPr>
      <t>m</t>
    </r>
    <r>
      <rPr>
        <sz val="10"/>
        <color theme="1"/>
        <rFont val="Franklin Gothic Demi"/>
        <family val="2"/>
      </rPr>
      <t>, W/m</t>
    </r>
    <r>
      <rPr>
        <vertAlign val="superscript"/>
        <sz val="10"/>
        <color theme="1"/>
        <rFont val="Franklin Gothic Demi"/>
        <family val="2"/>
      </rPr>
      <t>2</t>
    </r>
    <r>
      <rPr>
        <sz val="10"/>
        <color theme="1"/>
        <rFont val="Franklin Gothic Demi"/>
        <family val="2"/>
      </rPr>
      <t>K</t>
    </r>
  </si>
  <si>
    <t>     </t>
  </si>
  <si>
    <r>
      <t>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8"/>
        <color theme="1"/>
        <rFont val="Franklin Gothic Demi"/>
        <family val="2"/>
      </rPr>
      <t> </t>
    </r>
  </si>
  <si>
    <t>Upphandlingsmyndighetens (UHMs) frivilliga tilläggskrav</t>
  </si>
  <si>
    <t>UHM-krav</t>
  </si>
  <si>
    <t>UHM-kravuppfyllelse</t>
  </si>
  <si>
    <t>Inför startbesked</t>
  </si>
  <si>
    <t>Inför byggstart</t>
  </si>
  <si>
    <t>Inför slutbesked</t>
  </si>
  <si>
    <r>
      <t>Nettovärmeenergi (UHM 1A), kWh/m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</si>
  <si>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Energianvändning (UHM 1B), W/m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</si>
  <si>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Värmeförlusttal (VFT), W/m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</si>
  <si>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Redovisning Energiavtal 21</t>
  </si>
  <si>
    <t>Mätperiod (12 månader):</t>
  </si>
  <si>
    <t>Avtalat energikrav, primärenergital</t>
  </si>
  <si>
    <r>
      <t xml:space="preserve"> 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</si>
  <si>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Avtalat energivite, Energiavtal 21</t>
  </si>
  <si>
    <t xml:space="preserve"> SEK/kWh</t>
  </si>
  <si>
    <t>Energiprestanda som specifik energianvändning</t>
  </si>
  <si>
    <t>Energiprestanda som primärenergital</t>
  </si>
  <si>
    <t>Avvikelse</t>
  </si>
  <si>
    <t>Summa energivite</t>
  </si>
  <si>
    <t xml:space="preserve"> SEK</t>
  </si>
  <si>
    <t>Byggherre / Beställare</t>
  </si>
  <si>
    <t>Entreprenör</t>
  </si>
  <si>
    <t>Kontaktperson</t>
  </si>
  <si>
    <t>Adress</t>
  </si>
  <si>
    <t>E-post, tel.</t>
  </si>
  <si>
    <t>Ort och datum</t>
  </si>
  <si>
    <t>Underskrift</t>
  </si>
  <si>
    <t>Namnförtydligande</t>
  </si>
  <si>
    <t>Bilagor:</t>
  </si>
  <si>
    <t>Energihjälpen – Formulär för granskning och verifiering av energiprestanda för byggnader</t>
  </si>
  <si>
    <t>Byggnadsinfo och BBR-underlag</t>
  </si>
  <si>
    <t>Byggnaden - Identifikation och egenskaper</t>
  </si>
  <si>
    <t>Sammanställning installationer och mätning</t>
  </si>
  <si>
    <t>Välj kommun (även för Fgeo)</t>
  </si>
  <si>
    <t>Värmesystem:</t>
  </si>
  <si>
    <t>Fastighetsägare</t>
  </si>
  <si>
    <t>Välj bränsle 1</t>
  </si>
  <si>
    <t>Välj bränsle 2</t>
  </si>
  <si>
    <t>Fastighetsbeteckning</t>
  </si>
  <si>
    <t>Välj typ av VP</t>
  </si>
  <si>
    <t>Egen beteckning</t>
  </si>
  <si>
    <r>
      <t>m</t>
    </r>
    <r>
      <rPr>
        <vertAlign val="superscript"/>
        <sz val="10"/>
        <color indexed="8"/>
        <rFont val="Franklin Gothic Book"/>
        <family val="2"/>
      </rPr>
      <t>2</t>
    </r>
  </si>
  <si>
    <r>
      <t>Byggnads-ID / UUID</t>
    </r>
    <r>
      <rPr>
        <sz val="8"/>
        <color theme="1"/>
        <rFont val="Franklin Gothic Book"/>
        <family val="2"/>
      </rPr>
      <t> </t>
    </r>
  </si>
  <si>
    <t>Övrig värme:</t>
  </si>
  <si>
    <t>Huvudadress och postnummer</t>
  </si>
  <si>
    <t>Adress och postnummer</t>
  </si>
  <si>
    <t>Välj byggnadskategori</t>
  </si>
  <si>
    <t>Byggnadens komplexitet, välj</t>
  </si>
  <si>
    <t>Tappvarmvatten:</t>
  </si>
  <si>
    <t>Välj byggnadstyp</t>
  </si>
  <si>
    <t>Nybyggnadsår</t>
  </si>
  <si>
    <r>
      <t>A</t>
    </r>
    <r>
      <rPr>
        <vertAlign val="subscript"/>
        <sz val="10"/>
        <color theme="1"/>
        <rFont val="Franklin Gothic Book"/>
        <family val="2"/>
      </rPr>
      <t>varmgarage</t>
    </r>
  </si>
  <si>
    <r>
      <t>m</t>
    </r>
    <r>
      <rPr>
        <vertAlign val="superscript"/>
        <sz val="11"/>
        <color theme="1"/>
        <rFont val="Calibri"/>
        <family val="2"/>
        <scheme val="minor"/>
      </rPr>
      <t>2</t>
    </r>
  </si>
  <si>
    <r>
      <t>A</t>
    </r>
    <r>
      <rPr>
        <vertAlign val="subscript"/>
        <sz val="10"/>
        <color theme="1"/>
        <rFont val="Franklin Gothic Book"/>
        <family val="2"/>
      </rPr>
      <t>kallgarage</t>
    </r>
  </si>
  <si>
    <t>Antal våningsplan ovan mark</t>
  </si>
  <si>
    <t>Kylsystem:</t>
  </si>
  <si>
    <t>Antal källarplan</t>
  </si>
  <si>
    <t>Antal trapphus</t>
  </si>
  <si>
    <t>Antal lägenheter</t>
  </si>
  <si>
    <t>Elsystem:</t>
  </si>
  <si>
    <t>Installerad eleffekt för komfortkyla, kW</t>
  </si>
  <si>
    <t>Ventilation:</t>
  </si>
  <si>
    <r>
      <t>Inst.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</si>
  <si>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Elvärmd byggnad, J/N</t>
  </si>
  <si>
    <t>Energiverkningsgrad</t>
  </si>
  <si>
    <t>%</t>
  </si>
  <si>
    <t>Byggnaden – Verksamheter och areor</t>
  </si>
  <si>
    <r>
      <t>Ange m</t>
    </r>
    <r>
      <rPr>
        <vertAlign val="superscript"/>
        <sz val="11"/>
        <color theme="1"/>
        <rFont val="Franklin Gothic Demi"/>
        <family val="2"/>
      </rPr>
      <t>2</t>
    </r>
    <r>
      <rPr>
        <sz val="11"/>
        <color theme="1"/>
        <rFont val="Franklin Gothic Demi"/>
        <family val="2"/>
      </rPr>
      <t xml:space="preserve"> A</t>
    </r>
    <r>
      <rPr>
        <vertAlign val="subscript"/>
        <sz val="11"/>
        <color theme="1"/>
        <rFont val="Franklin Gothic Demi"/>
        <family val="2"/>
      </rPr>
      <t>temp</t>
    </r>
  </si>
  <si>
    <t>Före</t>
  </si>
  <si>
    <t>Efter</t>
  </si>
  <si>
    <t>Bostäder (inkl. biarea, t.ex. trapphus och uppvärmd källare)</t>
  </si>
  <si>
    <t>Mätplan</t>
  </si>
  <si>
    <t>Hotell, pensionat och elevhem</t>
  </si>
  <si>
    <r>
      <t xml:space="preserve">Följande mätpunkter installeras och kommer att kunna följas upp </t>
    </r>
    <r>
      <rPr>
        <sz val="10"/>
        <color theme="1"/>
        <rFont val="Franklin Gothic Demi"/>
        <family val="2"/>
      </rPr>
      <t xml:space="preserve">per byggnad. </t>
    </r>
    <r>
      <rPr>
        <sz val="10"/>
        <color theme="1"/>
        <rFont val="Franklin Gothic Book"/>
        <family val="2"/>
      </rPr>
      <t xml:space="preserve">Sätt </t>
    </r>
    <r>
      <rPr>
        <sz val="10"/>
        <color theme="1"/>
        <rFont val="Franklin Gothic Demi"/>
        <family val="2"/>
      </rPr>
      <t>kryss</t>
    </r>
    <r>
      <rPr>
        <sz val="10"/>
        <color theme="1"/>
        <rFont val="Franklin Gothic Book"/>
        <family val="2"/>
      </rPr>
      <t xml:space="preserve"> för de mätare som ingår (alla energibärare ska mätas).</t>
    </r>
  </si>
  <si>
    <t>Restaurang</t>
  </si>
  <si>
    <t xml:space="preserve">                              Energibärare</t>
  </si>
  <si>
    <t>Fjärrvärme</t>
  </si>
  <si>
    <t>El, direkt</t>
  </si>
  <si>
    <t>El, värmepump</t>
  </si>
  <si>
    <t>El, kylmaskin</t>
  </si>
  <si>
    <t>Fjärrkyla</t>
  </si>
  <si>
    <t>Bio-bränsle</t>
  </si>
  <si>
    <t>Olja och gas</t>
  </si>
  <si>
    <t>Anm.</t>
  </si>
  <si>
    <t>Kontor och förvaltning</t>
  </si>
  <si>
    <t>Energipost</t>
  </si>
  <si>
    <t>Butiks- och lagerlokaler för livsmedelshandel</t>
  </si>
  <si>
    <t>Debiteringsmätare</t>
  </si>
  <si>
    <t>Butiks- och lagerlokaler för övrig handel</t>
  </si>
  <si>
    <t>Verifieringsmätare:</t>
  </si>
  <si>
    <t>Köpcentrum</t>
  </si>
  <si>
    <r>
      <t>Uppvärmning</t>
    </r>
    <r>
      <rPr>
        <sz val="10"/>
        <color rgb="FFFF0000"/>
        <rFont val="Franklin Gothic Book"/>
        <family val="2"/>
      </rPr>
      <t xml:space="preserve"> </t>
    </r>
    <r>
      <rPr>
        <sz val="10"/>
        <color theme="1"/>
        <rFont val="Franklin Gothic Book"/>
        <family val="2"/>
      </rPr>
      <t> exkl. tappvarmvatten och VVC</t>
    </r>
  </si>
  <si>
    <t>Vård, dygnet runt</t>
  </si>
  <si>
    <t xml:space="preserve">Tappvarmvatten </t>
  </si>
  <si>
    <t>Vård, dagtid (samt serviceboende, frisersalong o. dyl)</t>
  </si>
  <si>
    <t>VVC-förluster</t>
  </si>
  <si>
    <t>Skolor (förskola-universitet)</t>
  </si>
  <si>
    <t>Övriga kulvertförluster</t>
  </si>
  <si>
    <t>Bad-, sport-, idrottsanläggningar (ej utomhusarenor)</t>
  </si>
  <si>
    <t>Komfortkyla</t>
  </si>
  <si>
    <t>Teater-, konsert-, biograflokaler och övriga samlingslokaler</t>
  </si>
  <si>
    <t>Fastighetsenergi</t>
  </si>
  <si>
    <t>Utveckling?</t>
  </si>
  <si>
    <t>Övrig verksamhet i lokaler</t>
  </si>
  <si>
    <t xml:space="preserve">Avloppsvärmeväxlare  </t>
  </si>
  <si>
    <r>
      <t> </t>
    </r>
    <r>
      <rPr>
        <sz val="10"/>
        <color rgb="FFFF0000"/>
        <rFont val="Franklin Gothic Book"/>
        <family val="2"/>
      </rPr>
      <t>Eventuellt tillägg med kulvertförluster vid flera byggnader på en fastighet</t>
    </r>
  </si>
  <si>
    <t>Total area</t>
  </si>
  <si>
    <r>
      <t>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</si>
  <si>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Solfångare</t>
  </si>
  <si>
    <t>Kan kryssen styra vilka kolumner som visas i inmatningen av mätvärden?</t>
  </si>
  <si>
    <t>Varav andel lokaler</t>
  </si>
  <si>
    <t>Solceller </t>
  </si>
  <si>
    <r>
      <t> </t>
    </r>
    <r>
      <rPr>
        <sz val="10"/>
        <color rgb="FFFF0000"/>
        <rFont val="Franklin Gothic Book"/>
        <family val="2"/>
      </rPr>
      <t>Beskriv hur ev. kulvertförluster ska hanteras.</t>
    </r>
  </si>
  <si>
    <t>Varav andel bostäder</t>
  </si>
  <si>
    <t>Verksamhetsenergi</t>
  </si>
  <si>
    <r>
      <t> </t>
    </r>
    <r>
      <rPr>
        <sz val="10"/>
        <color rgb="FFFF0000"/>
        <rFont val="Franklin Gothic Book"/>
        <family val="2"/>
      </rPr>
      <t>Skilja på värme till aggregat och radiatorer?</t>
    </r>
  </si>
  <si>
    <t>Hushållsenergi</t>
  </si>
  <si>
    <r>
      <t> </t>
    </r>
    <r>
      <rPr>
        <sz val="10"/>
        <color rgb="FFFF0000"/>
        <rFont val="Franklin Gothic Book"/>
        <family val="2"/>
      </rPr>
      <t>Lägga till tidsupplösning, automatisering m.m.</t>
    </r>
  </si>
  <si>
    <t>Inomhustemperatur för ev. normalisering</t>
  </si>
  <si>
    <t>Bekräfta mätplan i verifieringen.</t>
  </si>
  <si>
    <t>Underlag till energikrav enligt BBR</t>
  </si>
  <si>
    <t>Övriga mätare</t>
  </si>
  <si>
    <t>Anm. Nätägaren för el behöver medvetandegöras om BEN, för att möjliggöra mätning av summa hushålls- och verksamhetsel per byggnad.</t>
  </si>
  <si>
    <t>Kommentar:</t>
  </si>
  <si>
    <t>Välj BBR-version</t>
  </si>
  <si>
    <t>Kontrollfrågor:</t>
  </si>
  <si>
    <t>Fgeo</t>
  </si>
  <si>
    <t>Är energimätningen av byggnaden avgränsad enligt BBR? (Så byggnaden och dess fastighetsenergi kan skiljas från verksamhetsenergi, Dvs. ev. utvändig el, motorvärmare, billaddare, tvättstugor mm mäts av)</t>
  </si>
  <si>
    <t>Atemp lokal</t>
  </si>
  <si>
    <r>
      <t>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</si>
  <si>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t>Är verksamhets- och hushållsenergi skild från fastighetsenergi?</t>
  </si>
  <si>
    <t>Atemp bostad</t>
  </si>
  <si>
    <r>
      <t xml:space="preserve">Andel Atemp med lgh </t>
    </r>
    <r>
      <rPr>
        <sz val="10"/>
        <rFont val="Calibri"/>
        <family val="2"/>
      </rPr>
      <t>≤</t>
    </r>
    <r>
      <rPr>
        <sz val="10"/>
        <rFont val="Franklin Gothic Book"/>
        <family val="2"/>
      </rPr>
      <t xml:space="preserve"> 35 m</t>
    </r>
    <r>
      <rPr>
        <vertAlign val="superscript"/>
        <sz val="10"/>
        <rFont val="Franklin Gothic Book"/>
        <family val="2"/>
      </rPr>
      <t>2</t>
    </r>
    <r>
      <rPr>
        <sz val="10"/>
        <rFont val="Franklin Gothic Book"/>
        <family val="2"/>
      </rPr>
      <t xml:space="preserve"> boyta</t>
    </r>
  </si>
  <si>
    <t>Beräkningshjälp för personbaserat genomsnittligt hygieniskt luftflöde</t>
  </si>
  <si>
    <r>
      <t>Hygieniskt genomsnittligt ventilationsflöde, q</t>
    </r>
    <r>
      <rPr>
        <vertAlign val="subscript"/>
        <sz val="11"/>
        <color theme="1"/>
        <rFont val="Franklin Gothic Book"/>
        <family val="2"/>
      </rPr>
      <t>m</t>
    </r>
  </si>
  <si>
    <r>
      <t>l/sm</t>
    </r>
    <r>
      <rPr>
        <vertAlign val="superscript"/>
        <sz val="10"/>
        <color theme="1"/>
        <rFont val="Franklin Gothic Book"/>
        <family val="2"/>
      </rPr>
      <t>2</t>
    </r>
  </si>
  <si>
    <t>i lokaler (underlag för ventilationstillägg):</t>
  </si>
  <si>
    <t>Primärenergital:</t>
  </si>
  <si>
    <t>Lokalarea</t>
  </si>
  <si>
    <r>
      <rPr>
        <sz val="10"/>
        <color theme="1"/>
        <rFont val="Franklin Gothic Book"/>
        <family val="2"/>
      </rPr>
      <t>m</t>
    </r>
    <r>
      <rPr>
        <vertAlign val="superscript"/>
        <sz val="10"/>
        <color theme="1"/>
        <rFont val="Franklin Gothic Book"/>
        <family val="2"/>
      </rPr>
      <t>2</t>
    </r>
    <r>
      <rPr>
        <sz val="10"/>
        <color theme="1"/>
        <rFont val="Franklin Gothic Book"/>
        <family val="2"/>
      </rPr>
      <t xml:space="preserve"> lokal</t>
    </r>
  </si>
  <si>
    <t>BBR-krav lokal</t>
  </si>
  <si>
    <r>
      <t>kWh/m</t>
    </r>
    <r>
      <rPr>
        <vertAlign val="superscript"/>
        <sz val="10"/>
        <rFont val="Franklin Gothic Book"/>
        <family val="2"/>
      </rPr>
      <t>2</t>
    </r>
    <r>
      <rPr>
        <sz val="10"/>
        <rFont val="Franklin Gothic Book"/>
        <family val="2"/>
      </rPr>
      <t>A</t>
    </r>
    <r>
      <rPr>
        <vertAlign val="subscript"/>
        <sz val="10"/>
        <rFont val="Franklin Gothic Book"/>
        <family val="2"/>
      </rPr>
      <t>temp</t>
    </r>
  </si>
  <si>
    <t>Antal personer (för uteluftflödet)</t>
  </si>
  <si>
    <t>st</t>
  </si>
  <si>
    <t>BBR-krav flerbostadshus</t>
  </si>
  <si>
    <t>Hygieniskt minimiuteluftflöde</t>
  </si>
  <si>
    <r>
      <t>l/s,m</t>
    </r>
    <r>
      <rPr>
        <vertAlign val="superscript"/>
        <sz val="10"/>
        <rFont val="Franklin Gothic Book"/>
        <family val="2"/>
      </rPr>
      <t>2</t>
    </r>
    <r>
      <rPr>
        <sz val="10"/>
        <rFont val="Franklin Gothic Book"/>
        <family val="2"/>
      </rPr>
      <t>A</t>
    </r>
    <r>
      <rPr>
        <vertAlign val="subscript"/>
        <sz val="10"/>
        <rFont val="Franklin Gothic Book"/>
        <family val="2"/>
      </rPr>
      <t>temp</t>
    </r>
  </si>
  <si>
    <t>Viktat BBR-krav</t>
  </si>
  <si>
    <t>Uteluftsflöde vid närvaro</t>
  </si>
  <si>
    <r>
      <rPr>
        <sz val="10"/>
        <color theme="1"/>
        <rFont val="Franklin Gothic Demi"/>
        <family val="2"/>
      </rPr>
      <t>U</t>
    </r>
    <r>
      <rPr>
        <vertAlign val="subscript"/>
        <sz val="10"/>
        <color theme="1"/>
        <rFont val="Franklin Gothic Demi"/>
        <family val="2"/>
      </rPr>
      <t>m</t>
    </r>
    <r>
      <rPr>
        <sz val="10"/>
        <color theme="1"/>
        <rFont val="Franklin Gothic Demi"/>
        <family val="2"/>
      </rPr>
      <t>:</t>
    </r>
  </si>
  <si>
    <t>Ventilationens drifttid en vecka</t>
  </si>
  <si>
    <t>timmar</t>
  </si>
  <si>
    <r>
      <t>W/m</t>
    </r>
    <r>
      <rPr>
        <vertAlign val="superscript"/>
        <sz val="10"/>
        <rFont val="Franklin Gothic Book"/>
        <family val="2"/>
      </rPr>
      <t>2</t>
    </r>
    <r>
      <rPr>
        <sz val="10"/>
        <rFont val="Franklin Gothic Book"/>
        <family val="2"/>
      </rPr>
      <t>K</t>
    </r>
  </si>
  <si>
    <t>Uteluftsflöde utanför närvarotid</t>
  </si>
  <si>
    <r>
      <t>Genomsnittligt hygieniskt uteluftsflöde, q</t>
    </r>
    <r>
      <rPr>
        <vertAlign val="subscript"/>
        <sz val="10"/>
        <rFont val="Franklin Gothic Book"/>
        <family val="2"/>
      </rPr>
      <t>m</t>
    </r>
  </si>
  <si>
    <t>Instruktion behövs för qm, speciellt vid VAV-system. Bättre beräkningshjälp med flera zoner ?</t>
  </si>
  <si>
    <t>Baskrav</t>
  </si>
  <si>
    <t>Tillägg</t>
  </si>
  <si>
    <t>Uträkning av BBR-krav för olika byggnadskategorier och storlekar</t>
  </si>
  <si>
    <r>
      <t>Småhus &gt;50-90 m</t>
    </r>
    <r>
      <rPr>
        <vertAlign val="superscript"/>
        <sz val="10"/>
        <rFont val="Franklin Gothic Book"/>
        <family val="2"/>
      </rPr>
      <t>2</t>
    </r>
  </si>
  <si>
    <r>
      <t>Småhus &gt;90-130 m</t>
    </r>
    <r>
      <rPr>
        <vertAlign val="superscript"/>
        <sz val="10"/>
        <rFont val="Franklin Gothic Book"/>
        <family val="2"/>
      </rPr>
      <t>2</t>
    </r>
  </si>
  <si>
    <r>
      <t>Småhus &gt;130 m</t>
    </r>
    <r>
      <rPr>
        <vertAlign val="superscript"/>
        <sz val="10"/>
        <color theme="1"/>
        <rFont val="Franklin Gothic Book"/>
        <family val="2"/>
      </rPr>
      <t>2</t>
    </r>
  </si>
  <si>
    <r>
      <t>Flerbos-tadshus &gt;50 m</t>
    </r>
    <r>
      <rPr>
        <vertAlign val="superscript"/>
        <sz val="10"/>
        <rFont val="Franklin Gothic Book"/>
        <family val="2"/>
      </rPr>
      <t>2</t>
    </r>
  </si>
  <si>
    <r>
      <t>Lokaler &gt;50 m</t>
    </r>
    <r>
      <rPr>
        <vertAlign val="superscript"/>
        <sz val="10"/>
        <rFont val="Franklin Gothic Book"/>
        <family val="2"/>
      </rPr>
      <t>2</t>
    </r>
  </si>
  <si>
    <r>
      <t>Småhus &gt;50 m</t>
    </r>
    <r>
      <rPr>
        <vertAlign val="superscript"/>
        <sz val="10"/>
        <rFont val="Franklin Gothic Book"/>
        <family val="2"/>
      </rPr>
      <t>2</t>
    </r>
  </si>
  <si>
    <t>BBR 29, Energiprestanda</t>
  </si>
  <si>
    <t>BBR 25, Energiprestanda</t>
  </si>
  <si>
    <t>BBR 29, Installerad eleffekt</t>
  </si>
  <si>
    <t>kW</t>
  </si>
  <si>
    <t>BBR 25. Installerad eleffekt</t>
  </si>
  <si>
    <r>
      <t>BBR 29, U</t>
    </r>
    <r>
      <rPr>
        <vertAlign val="subscript"/>
        <sz val="10"/>
        <color theme="3"/>
        <rFont val="Franklin Gothic Book"/>
        <family val="2"/>
      </rPr>
      <t>m</t>
    </r>
  </si>
  <si>
    <r>
      <t>W/m</t>
    </r>
    <r>
      <rPr>
        <vertAlign val="superscript"/>
        <sz val="10"/>
        <color theme="1"/>
        <rFont val="Franklin Gothic Book"/>
        <family val="2"/>
      </rPr>
      <t>2</t>
    </r>
    <r>
      <rPr>
        <sz val="10"/>
        <color theme="1"/>
        <rFont val="Franklin Gothic Book"/>
        <family val="2"/>
      </rPr>
      <t>K</t>
    </r>
  </si>
  <si>
    <r>
      <t>BBR 25, U</t>
    </r>
    <r>
      <rPr>
        <vertAlign val="subscript"/>
        <sz val="10"/>
        <color theme="6" tint="-0.499984740745262"/>
        <rFont val="Franklin Gothic Book"/>
        <family val="2"/>
      </rPr>
      <t>m</t>
    </r>
  </si>
  <si>
    <t>Energikrav enligt BBR 29:</t>
  </si>
  <si>
    <t>Energikrav enligt BBR 25:</t>
  </si>
  <si>
    <t xml:space="preserve">1) Tillägg får göras med (0,025 + 0,02 x (Fgeo -1)) x (Atemp – 130) då Atemp är större än 130 m2. </t>
  </si>
  <si>
    <t xml:space="preserve">1) Tillägg får göras med (0,025 + 0,02(Fgeo -1)) x (Atemp – 130) då Atemp är större än 130 m2. Om </t>
  </si>
  <si>
    <t xml:space="preserve">Om den geografiska justeringsfaktorn Fgeo är mindre än 1,0 sätts den till 1,0 vid beräkning av </t>
  </si>
  <si>
    <t xml:space="preserve">den geografiska justeringsfaktorn Fgeo är mindre än 1,0 sätts den till 1,0 vid beräkning av </t>
  </si>
  <si>
    <t xml:space="preserve">installerad eleffekt. </t>
  </si>
  <si>
    <t xml:space="preserve">2) Tillägg får göras med 40 x (qmedel – 0,35) då uteluftsflödet i temperaturreglerade utrymmen av </t>
  </si>
  <si>
    <t xml:space="preserve">2) Tillägg får göras med 70 x (qmedel – 0,35) då uteluftsflödet i temperaturreglerade utrymmen av </t>
  </si>
  <si>
    <t xml:space="preserve">utökade hygieniska skäl är större än 0,35 l/s per m2, där qmedel är det genomsnittliga specifika </t>
  </si>
  <si>
    <t xml:space="preserve">uteluftsflödet under uppvärmningssäsongen och får högst tillgodoräknas upp till 1,00 l/s per </t>
  </si>
  <si>
    <t xml:space="preserve">m2. </t>
  </si>
  <si>
    <t xml:space="preserve">3) Tillägg får göras med (0,022 + 0,02 x (Fgeo -1)) x (q – 0,35)Atemp då uteluftsflödet av utökade </t>
  </si>
  <si>
    <t xml:space="preserve">3) Tillägg får göras med (0,022 + 0,02(Fgeo -1)) x (q – 0,35)Atemp då uteluftsflödet av utökade </t>
  </si>
  <si>
    <t xml:space="preserve">kontinuerliga hygieniska skäl är större än 0,35 l/s per m2 i temperaturreglerade utrymmen. Där </t>
  </si>
  <si>
    <t xml:space="preserve">kontinuerliga hygieniska skäl är större än 0,35 l/s per m2 i temperaturreglerade utrymmen. </t>
  </si>
  <si>
    <t xml:space="preserve">q är det maximala specifika uteluftsflödet vid DVUT. Om den geografiska justeringsfaktorn </t>
  </si>
  <si>
    <t>Där q är det maximala specifika uteluftsflödet vid DVUT. Om den geografiska justerings-</t>
  </si>
  <si>
    <t xml:space="preserve">Fgeo är mindre än 1,0 sätts den till 1,0 vid beräkning av installerad eleffekt. </t>
  </si>
  <si>
    <t xml:space="preserve">faktorn Fgeo är mindre än 1,0 sätts den till 1,0 vid beräkning av installerad eleffekt. </t>
  </si>
  <si>
    <t xml:space="preserve">4) Tillägg får göras med 40 x (qmedel – 0,35) i flerbostadshus där Atemp är 50 m2 eller större och </t>
  </si>
  <si>
    <t xml:space="preserve">4) Tillägg får göras med 70(qmedel – 0,35) i flerbostadshus där Atemp är 50 m2 eller större och </t>
  </si>
  <si>
    <t xml:space="preserve">som till övervägande delen (&gt;50 % Atemp) innehåller lägenheter med en boarea om högst </t>
  </si>
  <si>
    <t xml:space="preserve">35 m2 vardera och qmedel är uteluftsflödet i temperaturreglerade utrymmen överstiger 0,35 l/s </t>
  </si>
  <si>
    <t xml:space="preserve">per m2. Tillägget kan enbart användas på grund av krav på ventilation i särskilda utrymmen </t>
  </si>
  <si>
    <t xml:space="preserve">som badrum, toalett och kök och får högst tillgodoräknas upp till 0,6 l/s per m2. </t>
  </si>
  <si>
    <t xml:space="preserve">som badrum, toalett och kök. </t>
  </si>
  <si>
    <t xml:space="preserve">5) Tillägg får göras med (0,022 + 0,02 x (Fgeo -1)) x (q – 0,35)Atemp i flerbostadshus där Atemp är </t>
  </si>
  <si>
    <t xml:space="preserve">5) Tillägg får göras med (0,022 + 0,02(Fgeo -1)) x (q – 0,35)Atemp i flerbostadshus där Atemp är </t>
  </si>
  <si>
    <t xml:space="preserve">50 m2 eller större och som till övervägande delen (&gt;50 % Atemp) innehåller lägenheter med en </t>
  </si>
  <si>
    <t xml:space="preserve">boarea om högst 35 m2 vardera. Tillägget kan enbart användas då det maximala uteluftsflödet </t>
  </si>
  <si>
    <t>boarea om högst 35 m2 vardera. Tillägget kan enbart användas då det maximala utelufts-</t>
  </si>
  <si>
    <t xml:space="preserve">vid DVUT i temperaturreglerade utrymmen q överstiger 0,35 l/s per m2 på grund av krav på </t>
  </si>
  <si>
    <t xml:space="preserve">flödet vid DVUT i temperaturreglerade utrymmen q överstiger 0,35 l/s per m2 på grund av </t>
  </si>
  <si>
    <t xml:space="preserve">ventilation i särskilda utrymmen som badrum, toalett och kök. Om den geografiska </t>
  </si>
  <si>
    <t xml:space="preserve">krav på ventilation i särskilda utrymmen som badrum, toalett och kök. Om den geografiska </t>
  </si>
  <si>
    <t xml:space="preserve">justeringsfaktorn Fgeo är mindre än 1,0 sätts den till 1,0 vid beräkning av installerad eleffekt. </t>
  </si>
  <si>
    <t>justeringsfaktorn Fgeo är mindre än 1,0 sätts den till 1,0 vid beräkning av installerad eleffekt.</t>
  </si>
  <si>
    <t xml:space="preserve">                            B1. Beräkningsresultat för helår utan viktningsfaktorer</t>
  </si>
  <si>
    <r>
      <t>Beräknad energianvändning enl. BEN, kWh/m</t>
    </r>
    <r>
      <rPr>
        <vertAlign val="superscript"/>
        <sz val="14"/>
        <color rgb="FFFFFFFF"/>
        <rFont val="Franklin Gothic Demi"/>
        <family val="2"/>
      </rPr>
      <t>2</t>
    </r>
    <r>
      <rPr>
        <sz val="14"/>
        <color rgb="FFFFFFFF"/>
        <rFont val="Franklin Gothic Demi"/>
        <family val="2"/>
      </rPr>
      <t>A</t>
    </r>
    <r>
      <rPr>
        <vertAlign val="subscript"/>
        <sz val="14"/>
        <color rgb="FFFFFFFF"/>
        <rFont val="Franklin Gothic Demi"/>
        <family val="2"/>
      </rPr>
      <t>temp</t>
    </r>
    <r>
      <rPr>
        <sz val="14"/>
        <color rgb="FFFFFFFF"/>
        <rFont val="Franklin Gothic Demi"/>
        <family val="2"/>
      </rPr>
      <t xml:space="preserve"> samt installerad eleffekt</t>
    </r>
  </si>
  <si>
    <t>Uppdelat beräkningsresultat (utdata)</t>
  </si>
  <si>
    <t>Beräknat före åtgärd</t>
  </si>
  <si>
    <r>
      <t>Uppdaterat inför byggstart (frivilligt)</t>
    </r>
    <r>
      <rPr>
        <sz val="10"/>
        <color theme="1"/>
        <rFont val="Franklin Gothic Book"/>
        <family val="2"/>
      </rPr>
      <t xml:space="preserve"> </t>
    </r>
  </si>
  <si>
    <t>Beräknat efter åtgärd</t>
  </si>
  <si>
    <t>kWh</t>
  </si>
  <si>
    <r>
      <t>Uppvärmning</t>
    </r>
    <r>
      <rPr>
        <sz val="8"/>
        <color theme="1"/>
        <rFont val="Franklin Gothic Book"/>
        <family val="2"/>
      </rPr>
      <t>  </t>
    </r>
    <r>
      <rPr>
        <sz val="10"/>
        <color theme="1"/>
        <rFont val="Franklin Gothic Book"/>
        <family val="2"/>
      </rPr>
      <t xml:space="preserve"> </t>
    </r>
    <r>
      <rPr>
        <sz val="8"/>
        <color theme="1"/>
        <rFont val="Franklin Gothic Book"/>
        <family val="2"/>
      </rPr>
      <t> </t>
    </r>
    <r>
      <rPr>
        <sz val="10"/>
        <color theme="1"/>
        <rFont val="Franklin Gothic Book"/>
        <family val="2"/>
      </rPr>
      <t xml:space="preserve">(enligt BBR) </t>
    </r>
  </si>
  <si>
    <r>
      <t>….varav VVC-förluster (totala) och stilleståndsförlust</t>
    </r>
    <r>
      <rPr>
        <sz val="8"/>
        <color theme="1"/>
        <rFont val="Franklin Gothic Book"/>
        <family val="2"/>
      </rPr>
      <t> </t>
    </r>
  </si>
  <si>
    <t xml:space="preserve">      ….varav distributionsförlust för värme</t>
  </si>
  <si>
    <t>.…varav avdrag på uppvärmning för lokalt producerad förnybar energi (solvärme m.m.)</t>
  </si>
  <si>
    <t>….varav komfortgolvvärme med el i badrum</t>
  </si>
  <si>
    <t>Vädringspåslag</t>
  </si>
  <si>
    <r>
      <t>Normalt tappvarmvatten</t>
    </r>
    <r>
      <rPr>
        <sz val="8"/>
        <color theme="1"/>
        <rFont val="Franklin Gothic Book"/>
        <family val="2"/>
      </rPr>
      <t>  </t>
    </r>
    <r>
      <rPr>
        <sz val="10"/>
        <color theme="1"/>
        <rFont val="Franklin Gothic Book"/>
        <family val="2"/>
      </rPr>
      <t>för byggnaden.</t>
    </r>
  </si>
  <si>
    <t>Komfortkyla, el</t>
  </si>
  <si>
    <t>….varav distributionsförlust för komfortkyla med el</t>
  </si>
  <si>
    <t>Komfortkyla, fjärrkyla</t>
  </si>
  <si>
    <t xml:space="preserve">      ….varav distributionsförlust för komfortfjärrkyla</t>
  </si>
  <si>
    <t>Fastighetsenergi – el (efter avdrag för solceller)</t>
  </si>
  <si>
    <t>….varav el från solceller som inte tidigare dragits av</t>
  </si>
  <si>
    <r>
      <t>Fastighetsenergi</t>
    </r>
    <r>
      <rPr>
        <sz val="8"/>
        <color theme="1"/>
        <rFont val="Franklin Gothic Book"/>
        <family val="2"/>
      </rPr>
      <t> </t>
    </r>
    <r>
      <rPr>
        <sz val="10"/>
        <color theme="1"/>
        <rFont val="Franklin Gothic Book"/>
        <family val="2"/>
      </rPr>
      <t xml:space="preserve"> - övrig</t>
    </r>
  </si>
  <si>
    <t>Övergripande säkerhetsmarginal enligt BEN (utöver vad som ingår i vädring och förluster ovan)</t>
  </si>
  <si>
    <r>
      <t>Beräknad 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10"/>
        <color theme="1"/>
        <rFont val="Franklin Gothic Book"/>
        <family val="2"/>
      </rPr>
      <t>.</t>
    </r>
  </si>
  <si>
    <t>Antagen indata på verksamhetsenergi och hushållsenergi</t>
  </si>
  <si>
    <t>Utvändig el som inte ingår</t>
  </si>
  <si>
    <r>
      <t>Beräknad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</si>
  <si>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Beräkningsresultat i kWh uppdelat per energibärare (underlag för beräkning av primärenergital).</t>
  </si>
  <si>
    <t>Uppvärmning, el</t>
  </si>
  <si>
    <t>Uppvärmning, fjv</t>
  </si>
  <si>
    <t>Uppvärmning, bio</t>
  </si>
  <si>
    <t>Uppvärmning, olja &amp; gas</t>
  </si>
  <si>
    <t>VVC, el</t>
  </si>
  <si>
    <t>VVC, fjv</t>
  </si>
  <si>
    <t>VVC, bio</t>
  </si>
  <si>
    <t>VVC, olja &amp; gas</t>
  </si>
  <si>
    <t>Tappvv, el</t>
  </si>
  <si>
    <t>Tappvv, fjv</t>
  </si>
  <si>
    <t>Tappvv, bio</t>
  </si>
  <si>
    <t>Tappvv, olja &amp; gas</t>
  </si>
  <si>
    <t>Komfortkyla, fjk</t>
  </si>
  <si>
    <t>Komfortkyla, fjv</t>
  </si>
  <si>
    <t>Komfortkyla, bio</t>
  </si>
  <si>
    <t>Komfortkyla, olja &amp; gas</t>
  </si>
  <si>
    <t>Fastighetsenergi, el</t>
  </si>
  <si>
    <t>Fastighetsenergi, fjv</t>
  </si>
  <si>
    <t>Fastighetsenergi, bio</t>
  </si>
  <si>
    <t>Fastighetsenergi, olja &amp; gas</t>
  </si>
  <si>
    <t>Summa</t>
  </si>
  <si>
    <t>B2. Beräkningsindata och klimatskärmsdata</t>
  </si>
  <si>
    <t>Data för klimatskärm – U-medelvärde och luftläckning</t>
  </si>
  <si>
    <t>Före åtgärd</t>
  </si>
  <si>
    <t>Konstruktionsdelar</t>
  </si>
  <si>
    <r>
      <t>U-värde, W/m</t>
    </r>
    <r>
      <rPr>
        <vertAlign val="superscript"/>
        <sz val="10"/>
        <color theme="1"/>
        <rFont val="Franklin Gothic Demi"/>
        <family val="2"/>
      </rPr>
      <t>2</t>
    </r>
    <r>
      <rPr>
        <sz val="10"/>
        <color theme="1"/>
        <rFont val="Franklin Gothic Demi"/>
        <family val="2"/>
      </rPr>
      <t>K</t>
    </r>
  </si>
  <si>
    <r>
      <t>Area, m</t>
    </r>
    <r>
      <rPr>
        <vertAlign val="superscript"/>
        <sz val="10"/>
        <color theme="1"/>
        <rFont val="Franklin Gothic Demi"/>
        <family val="2"/>
      </rPr>
      <t>2</t>
    </r>
  </si>
  <si>
    <t>U*A, W/K</t>
  </si>
  <si>
    <t>Column1</t>
  </si>
  <si>
    <t>U-värde, före</t>
  </si>
  <si>
    <t>Area, före</t>
  </si>
  <si>
    <t>Column4</t>
  </si>
  <si>
    <t>U-värde, efter</t>
  </si>
  <si>
    <t>Area, efter</t>
  </si>
  <si>
    <t>Column7</t>
  </si>
  <si>
    <t>Column8</t>
  </si>
  <si>
    <t>Tak/vindsbjälklag 1</t>
  </si>
  <si>
    <t>Tak/vindsbjälklag 2</t>
  </si>
  <si>
    <t>Yttervägg ovan mark 1</t>
  </si>
  <si>
    <t>Yttervägg ovan mark 2</t>
  </si>
  <si>
    <t>Yttervägg under mark</t>
  </si>
  <si>
    <t>Golv/grund</t>
  </si>
  <si>
    <t>Fönster 1</t>
  </si>
  <si>
    <t>Fönster 2</t>
  </si>
  <si>
    <t>Dörrar</t>
  </si>
  <si>
    <t>Portar</t>
  </si>
  <si>
    <t>Övrigt</t>
  </si>
  <si>
    <r>
      <t>Area A</t>
    </r>
    <r>
      <rPr>
        <vertAlign val="subscript"/>
        <sz val="10"/>
        <color theme="1"/>
        <rFont val="Franklin Gothic Book"/>
        <family val="2"/>
      </rPr>
      <t>om</t>
    </r>
    <r>
      <rPr>
        <sz val="10"/>
        <color theme="1"/>
        <rFont val="Franklin Gothic Book"/>
        <family val="2"/>
      </rPr>
      <t xml:space="preserve"> och summa U*A</t>
    </r>
  </si>
  <si>
    <t>-</t>
  </si>
  <si>
    <t>Köldbryggor</t>
  </si>
  <si>
    <t>Ψ- värde W/m,K</t>
  </si>
  <si>
    <t>Längd, m</t>
  </si>
  <si>
    <t>Χ-värde, W/K</t>
  </si>
  <si>
    <t>Bottenbjälklag-yttervägg</t>
  </si>
  <si>
    <t>Bjälklagskanter</t>
  </si>
  <si>
    <t>Balkongkanter</t>
  </si>
  <si>
    <t>Vindsbjälklag-yttervägg</t>
  </si>
  <si>
    <t>Fönster- och dörrsmygar</t>
  </si>
  <si>
    <t>Ytterhörn (vertikalt)</t>
  </si>
  <si>
    <t>Övriga linjeköldbryggor</t>
  </si>
  <si>
    <t>Punktinfästningar</t>
  </si>
  <si>
    <t>Summa Psi*l</t>
  </si>
  <si>
    <r>
      <t>Resulterande U</t>
    </r>
    <r>
      <rPr>
        <vertAlign val="subscript"/>
        <sz val="10"/>
        <color rgb="FF000000"/>
        <rFont val="Franklin Gothic Demi"/>
        <family val="2"/>
      </rPr>
      <t>m</t>
    </r>
    <r>
      <rPr>
        <sz val="10"/>
        <color rgb="FF000000"/>
        <rFont val="Franklin Gothic Demi"/>
        <family val="2"/>
      </rPr>
      <t>-värde,   W/m</t>
    </r>
    <r>
      <rPr>
        <vertAlign val="superscript"/>
        <sz val="10"/>
        <color rgb="FF000000"/>
        <rFont val="Franklin Gothic Demi"/>
        <family val="2"/>
      </rPr>
      <t>2</t>
    </r>
    <r>
      <rPr>
        <sz val="10"/>
        <color rgb="FF000000"/>
        <rFont val="Franklin Gothic Demi"/>
        <family val="2"/>
      </rPr>
      <t xml:space="preserve">K </t>
    </r>
  </si>
  <si>
    <t>  </t>
  </si>
  <si>
    <r>
      <rPr>
        <sz val="10"/>
        <color theme="1"/>
        <rFont val="Franklin Gothic Demi"/>
        <family val="2"/>
      </rPr>
      <t>Formfaktor (A</t>
    </r>
    <r>
      <rPr>
        <vertAlign val="subscript"/>
        <sz val="10"/>
        <color theme="1"/>
        <rFont val="Franklin Gothic Demi"/>
        <family val="2"/>
      </rPr>
      <t>om</t>
    </r>
    <r>
      <rPr>
        <sz val="10"/>
        <color theme="1"/>
        <rFont val="Franklin Gothic Demi"/>
        <family val="2"/>
      </rPr>
      <t>/A</t>
    </r>
    <r>
      <rPr>
        <vertAlign val="subscript"/>
        <sz val="10"/>
        <color theme="1"/>
        <rFont val="Franklin Gothic Demi"/>
        <family val="2"/>
      </rPr>
      <t>temp</t>
    </r>
    <r>
      <rPr>
        <sz val="10"/>
        <color theme="1"/>
        <rFont val="Franklin Gothic Demi"/>
        <family val="2"/>
      </rPr>
      <t>)</t>
    </r>
  </si>
  <si>
    <r>
      <t>Luftläckning vid 50 Pa,    l/s,m</t>
    </r>
    <r>
      <rPr>
        <vertAlign val="superscript"/>
        <sz val="10"/>
        <color rgb="FF000000"/>
        <rFont val="Franklin Gothic Demi"/>
        <family val="2"/>
      </rPr>
      <t>2</t>
    </r>
    <r>
      <rPr>
        <sz val="10"/>
        <color rgb="FF000000"/>
        <rFont val="Franklin Gothic Demi"/>
        <family val="2"/>
      </rPr>
      <t>A</t>
    </r>
    <r>
      <rPr>
        <vertAlign val="subscript"/>
        <sz val="10"/>
        <color rgb="FF000000"/>
        <rFont val="Franklin Gothic Demi"/>
        <family val="2"/>
      </rPr>
      <t>om</t>
    </r>
  </si>
  <si>
    <t>Dokumentation - Solskydd – Indata</t>
  </si>
  <si>
    <r>
      <t>Fönsterglas g-värde</t>
    </r>
    <r>
      <rPr>
        <sz val="8"/>
        <color theme="1"/>
        <rFont val="Franklin Gothic Book"/>
        <family val="2"/>
      </rPr>
      <t> </t>
    </r>
    <r>
      <rPr>
        <sz val="10"/>
        <color theme="1"/>
        <rFont val="Franklin Gothic Book"/>
        <family val="2"/>
      </rPr>
      <t>, S</t>
    </r>
  </si>
  <si>
    <t>Fönsterglas g-värde, Ö</t>
  </si>
  <si>
    <t>Fönsterglas g-värde, V</t>
  </si>
  <si>
    <t>Fönsterglas g-värde, N</t>
  </si>
  <si>
    <t>Fönster, g-syst</t>
  </si>
  <si>
    <t>Ev. skuggningsandel</t>
  </si>
  <si>
    <r>
      <t>Typ av solskydd</t>
    </r>
    <r>
      <rPr>
        <sz val="8"/>
        <color theme="1"/>
        <rFont val="Franklin Gothic Book"/>
        <family val="2"/>
      </rPr>
      <t> </t>
    </r>
    <r>
      <rPr>
        <sz val="10"/>
        <color theme="1"/>
        <rFont val="Franklin Gothic Book"/>
        <family val="2"/>
      </rPr>
      <t xml:space="preserve"> </t>
    </r>
  </si>
  <si>
    <t>Dokumentation - Beräkningsindata – Allmänt</t>
  </si>
  <si>
    <t>Beräkningsprogram, version</t>
  </si>
  <si>
    <t>Klimatdatafil, ort och år</t>
  </si>
  <si>
    <r>
      <t>Total A</t>
    </r>
    <r>
      <rPr>
        <vertAlign val="subscript"/>
        <sz val="10"/>
        <color theme="1"/>
        <rFont val="Franklin Gothic Book"/>
        <family val="2"/>
      </rPr>
      <t>temp</t>
    </r>
  </si>
  <si>
    <t>Antal beräkningszoner (för olika verksamheter etc.)</t>
  </si>
  <si>
    <r>
      <t>     </t>
    </r>
    <r>
      <rPr>
        <sz val="8"/>
        <color theme="1"/>
        <rFont val="Franklin Gothic Book"/>
        <family val="2"/>
      </rPr>
      <t> </t>
    </r>
  </si>
  <si>
    <t xml:space="preserve"> Överensstämmer brukarindata för bostäder med BEN ? Om nej, ange avvikelse och motiv: </t>
  </si>
  <si>
    <t>Dokumentation - Beräkningsindata – Brukare</t>
  </si>
  <si>
    <t>Indata per beräkningszon</t>
  </si>
  <si>
    <t>Zon      </t>
  </si>
  <si>
    <t>Typ av verksamhet</t>
  </si>
  <si>
    <t>Verksamhetstider vardagar, klockslag</t>
  </si>
  <si>
    <t>Verksamhetstider helgdagar, klockslag</t>
  </si>
  <si>
    <t>Inneklimat och interna värmelaster:</t>
  </si>
  <si>
    <t>Lägsta lufttemperatur vintertid, ºC</t>
  </si>
  <si>
    <t>Högsta lufttemperatur sommartid, ºC</t>
  </si>
  <si>
    <r>
      <t>Personvärme (medel) under verksamhetstid, W/m</t>
    </r>
    <r>
      <rPr>
        <vertAlign val="superscript"/>
        <sz val="10"/>
        <color theme="1"/>
        <rFont val="Franklin Gothic Book"/>
        <family val="2"/>
      </rPr>
      <t>2</t>
    </r>
  </si>
  <si>
    <t>Antagen närvaro, %</t>
  </si>
  <si>
    <r>
      <t>Belysningseffekt (medel) under verksamhetstid W/m</t>
    </r>
    <r>
      <rPr>
        <vertAlign val="superscript"/>
        <sz val="10"/>
        <color theme="1"/>
        <rFont val="Franklin Gothic Book"/>
        <family val="2"/>
      </rPr>
      <t>2</t>
    </r>
  </si>
  <si>
    <t>Typ av styrning och reglering av belysning</t>
  </si>
  <si>
    <r>
      <t>Elapparateffekt (medel) under verksamhetstid, W/m</t>
    </r>
    <r>
      <rPr>
        <vertAlign val="superscript"/>
        <sz val="10"/>
        <color theme="1"/>
        <rFont val="Franklin Gothic Book"/>
        <family val="2"/>
      </rPr>
      <t>2</t>
    </r>
  </si>
  <si>
    <t>Dokumentation - Beräkningsindata – Installationer</t>
  </si>
  <si>
    <t>För bostäder räcker det med att nedtill redovisa luftflöde, SFP-tal, temperaturverkningsgrad, SCOP värme och SCOP varmvatten för en beräkningszon.</t>
  </si>
  <si>
    <t>Ventilationssystem:</t>
  </si>
  <si>
    <r>
      <t> </t>
    </r>
    <r>
      <rPr>
        <sz val="10"/>
        <color rgb="FFFF0000"/>
        <rFont val="Franklin Gothic Book"/>
        <family val="2"/>
      </rPr>
      <t>Infoga beskrivning av system för värmetillförsel, kyla, TVV och distributionssystem? Alternativt i inledningen.</t>
    </r>
  </si>
  <si>
    <t>Typ: CAV eller VAV</t>
  </si>
  <si>
    <r>
      <t>Om CAV: Ventilationsflöde,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</si>
  <si>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CAV: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</si>
  <si>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Lägsta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</si>
  <si>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Medelflöde vid närvaro,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</si>
  <si>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Högsta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</si>
  <si>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</si>
  <si>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 </t>
    </r>
    <r>
      <rPr>
        <sz val="10"/>
        <color rgb="FFFF0000"/>
        <rFont val="Franklin Gothic Book"/>
        <family val="2"/>
      </rPr>
      <t>Definiera SFP – för aggregat eller system? SFPv eller SFPe - rullist?</t>
    </r>
  </si>
  <si>
    <r>
      <t>SFP</t>
    </r>
    <r>
      <rPr>
        <sz val="8"/>
        <color theme="1"/>
        <rFont val="Franklin Gothic Book"/>
        <family val="2"/>
      </rPr>
      <t> </t>
    </r>
    <r>
      <rPr>
        <sz val="10"/>
        <color theme="1"/>
        <rFont val="Franklin Gothic Book"/>
        <family val="2"/>
      </rPr>
      <t>-tal</t>
    </r>
  </si>
  <si>
    <t>Tilluftstemperatur,°C</t>
  </si>
  <si>
    <r>
      <t> </t>
    </r>
    <r>
      <rPr>
        <sz val="10"/>
        <color rgb="FFFF0000"/>
        <rFont val="Franklin Gothic Book"/>
        <family val="2"/>
      </rPr>
      <t>Instruktion och hänvisning till definition som tar hänsyn till avfrostning behövs. Årsverkningsgrad.</t>
    </r>
  </si>
  <si>
    <r>
      <t>Temperaturverkningsgrad</t>
    </r>
    <r>
      <rPr>
        <sz val="8"/>
        <color theme="1"/>
        <rFont val="Franklin Gothic Book"/>
        <family val="2"/>
      </rPr>
      <t> </t>
    </r>
    <r>
      <rPr>
        <sz val="10"/>
        <color theme="1"/>
        <rFont val="Franklin Gothic Book"/>
        <family val="2"/>
      </rPr>
      <t>, värmeåtervinning, %</t>
    </r>
  </si>
  <si>
    <t>Drifttider för ventilation</t>
  </si>
  <si>
    <r>
      <t xml:space="preserve">Värme </t>
    </r>
    <r>
      <rPr>
        <sz val="8"/>
        <color theme="1"/>
        <rFont val="Franklin Gothic Book"/>
        <family val="2"/>
      </rPr>
      <t> </t>
    </r>
    <r>
      <rPr>
        <sz val="10"/>
        <color theme="1"/>
        <rFont val="Franklin Gothic Demi"/>
        <family val="2"/>
      </rPr>
      <t>och kyla:</t>
    </r>
  </si>
  <si>
    <t>SCOP värme</t>
  </si>
  <si>
    <t>SCOP varmvatten</t>
  </si>
  <si>
    <t>SCOP  kylmaskin</t>
  </si>
  <si>
    <t>VVC:</t>
  </si>
  <si>
    <t>Rörlängd, m</t>
  </si>
  <si>
    <t>Isolerklass, VVC-isolering</t>
  </si>
  <si>
    <t>Övrigt:</t>
  </si>
  <si>
    <t>Primärenergitalsberäkning från beräknings- och mätresultat</t>
  </si>
  <si>
    <t>Viktningsfaktorer, VFi (PEi)</t>
  </si>
  <si>
    <t>BBR 25</t>
  </si>
  <si>
    <t>BBR 29</t>
  </si>
  <si>
    <t>El</t>
  </si>
  <si>
    <t>Elvärmd byggnad J/N</t>
  </si>
  <si>
    <r>
      <t>A</t>
    </r>
    <r>
      <rPr>
        <vertAlign val="subscript"/>
        <sz val="11"/>
        <color theme="1"/>
        <rFont val="Calibri"/>
        <family val="2"/>
        <scheme val="minor"/>
      </rPr>
      <t>temp</t>
    </r>
  </si>
  <si>
    <r>
      <t>F</t>
    </r>
    <r>
      <rPr>
        <vertAlign val="subscript"/>
        <sz val="11"/>
        <color theme="1"/>
        <rFont val="Calibri"/>
        <family val="2"/>
        <scheme val="minor"/>
      </rPr>
      <t>geo</t>
    </r>
  </si>
  <si>
    <t>Biobränsle</t>
  </si>
  <si>
    <t>Olja &amp; gas</t>
  </si>
  <si>
    <t>Beräknat efter renovering</t>
  </si>
  <si>
    <t>Uppmätt före åtgärd</t>
  </si>
  <si>
    <t>Uppmätt efter renovering</t>
  </si>
  <si>
    <t>Uppmätt efter renov. år 2</t>
  </si>
  <si>
    <t>Primärenergital (BBR29, viktat):</t>
  </si>
  <si>
    <r>
      <t>kWh/m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r>
      <rPr>
        <sz val="11"/>
        <color theme="1"/>
        <rFont val="Calibri"/>
        <family val="2"/>
        <scheme val="minor"/>
      </rPr>
      <t>år</t>
    </r>
  </si>
  <si>
    <t>Varav:</t>
  </si>
  <si>
    <t>Uppvärmning</t>
  </si>
  <si>
    <t>VVC</t>
  </si>
  <si>
    <t>Tappvv</t>
  </si>
  <si>
    <t>Primärenergital (BBR25, viktat):</t>
  </si>
  <si>
    <t>Funkar för en energibärare, fixa om fler.</t>
  </si>
  <si>
    <t>Specifik energianvändning (oviktad):</t>
  </si>
  <si>
    <t xml:space="preserve"> Sammanställning och beräkning av Upphandlingsmyndighetens krav</t>
  </si>
  <si>
    <t>Rad nr</t>
  </si>
  <si>
    <r>
      <t>Nettovärmeenergi (UHM 1A), kWh/m</t>
    </r>
    <r>
      <rPr>
        <vertAlign val="superscript"/>
        <sz val="12"/>
        <color theme="1"/>
        <rFont val="Franklin Gothic Demi"/>
        <family val="2"/>
      </rPr>
      <t>2</t>
    </r>
    <r>
      <rPr>
        <sz val="12"/>
        <color theme="1"/>
        <rFont val="Franklin Gothic Demi"/>
        <family val="2"/>
      </rPr>
      <t>A</t>
    </r>
    <r>
      <rPr>
        <vertAlign val="subscript"/>
        <sz val="12"/>
        <color theme="1"/>
        <rFont val="Franklin Gothic Demi"/>
        <family val="2"/>
      </rPr>
      <t>temp</t>
    </r>
  </si>
  <si>
    <r>
      <t>Beräknat inför startbesked</t>
    </r>
    <r>
      <rPr>
        <sz val="10"/>
        <color theme="1"/>
        <rFont val="Franklin Gothic Book"/>
        <family val="2"/>
      </rPr>
      <t xml:space="preserve"> </t>
    </r>
  </si>
  <si>
    <t>Uppdaterat inför byggstart</t>
  </si>
  <si>
    <r>
      <rPr>
        <sz val="10"/>
        <rFont val="Franklin Gothic Demi"/>
        <family val="2"/>
      </rPr>
      <t>Uppdaterad relationshandling</t>
    </r>
    <r>
      <rPr>
        <sz val="10"/>
        <color theme="1"/>
        <rFont val="Franklin Gothic Demi"/>
        <family val="2"/>
      </rPr>
      <t xml:space="preserve"> (inför slutbesked)</t>
    </r>
  </si>
  <si>
    <r>
      <t>kWh/m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</si>
  <si>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r>
      <rPr>
        <b/>
        <sz val="10"/>
        <color theme="1"/>
        <rFont val="Franklin Gothic Book"/>
        <family val="2"/>
      </rPr>
      <t>Värme</t>
    </r>
    <r>
      <rPr>
        <sz val="10"/>
        <color theme="1"/>
        <rFont val="Franklin Gothic Book"/>
        <family val="2"/>
      </rPr>
      <t xml:space="preserve"> levererad av fjärrvärme eller annat nät. </t>
    </r>
  </si>
  <si>
    <r>
      <rPr>
        <b/>
        <sz val="10"/>
        <rFont val="Franklin Gothic Book"/>
        <family val="2"/>
      </rPr>
      <t>Värme</t>
    </r>
    <r>
      <rPr>
        <sz val="10"/>
        <rFont val="Franklin Gothic Book"/>
        <family val="2"/>
      </rPr>
      <t xml:space="preserve"> levererad av värmepumpar.</t>
    </r>
  </si>
  <si>
    <r>
      <rPr>
        <b/>
        <sz val="10"/>
        <color theme="1"/>
        <rFont val="Franklin Gothic Book"/>
        <family val="2"/>
      </rPr>
      <t>Värme</t>
    </r>
    <r>
      <rPr>
        <sz val="10"/>
        <color theme="1"/>
        <rFont val="Franklin Gothic Book"/>
        <family val="2"/>
      </rPr>
      <t xml:space="preserve"> levererad av annan uppvärmning (som ej anges nedan). </t>
    </r>
  </si>
  <si>
    <r>
      <rPr>
        <b/>
        <sz val="10"/>
        <color theme="1"/>
        <rFont val="Franklin Gothic Book"/>
        <family val="2"/>
      </rPr>
      <t>Värme</t>
    </r>
    <r>
      <rPr>
        <sz val="10"/>
        <color theme="1"/>
        <rFont val="Franklin Gothic Book"/>
        <family val="2"/>
      </rPr>
      <t xml:space="preserve"> levererad av lokalt producerad /gratis energi (solvärme m.m.). </t>
    </r>
  </si>
  <si>
    <r>
      <rPr>
        <b/>
        <sz val="10"/>
        <color theme="1"/>
        <rFont val="Franklin Gothic Book"/>
        <family val="2"/>
      </rPr>
      <t xml:space="preserve">Värme </t>
    </r>
    <r>
      <rPr>
        <sz val="10"/>
        <color theme="1"/>
        <rFont val="Franklin Gothic Book"/>
        <family val="2"/>
      </rPr>
      <t>från komfortgolvvärme, handdukstork, etc. med el.</t>
    </r>
  </si>
  <si>
    <t>Övergripande säkerhetsmarginal enligt BEN.</t>
  </si>
  <si>
    <t>Av summerad nettovärme ovan, ange vad som utgör:</t>
  </si>
  <si>
    <t>….varav VVC-förluster (totala) och stilleståndsförluster</t>
  </si>
  <si>
    <t xml:space="preserve"> </t>
  </si>
  <si>
    <t>Summa nettovärmeenergi enligt UHM 1A</t>
  </si>
  <si>
    <r>
      <t>Byggnadens energianvändning (UHM 1B), kWh/m</t>
    </r>
    <r>
      <rPr>
        <vertAlign val="superscript"/>
        <sz val="12"/>
        <color theme="1"/>
        <rFont val="Franklin Gothic Demi"/>
        <family val="2"/>
      </rPr>
      <t>2</t>
    </r>
    <r>
      <rPr>
        <sz val="12"/>
        <color theme="1"/>
        <rFont val="Franklin Gothic Demi"/>
        <family val="2"/>
      </rPr>
      <t xml:space="preserve"> A</t>
    </r>
    <r>
      <rPr>
        <vertAlign val="subscript"/>
        <sz val="12"/>
        <color theme="1"/>
        <rFont val="Franklin Gothic Demi"/>
        <family val="2"/>
      </rPr>
      <t>temp</t>
    </r>
  </si>
  <si>
    <r>
      <rPr>
        <b/>
        <sz val="10"/>
        <color theme="1"/>
        <rFont val="Franklin Gothic Book"/>
        <family val="2"/>
      </rPr>
      <t>Nettovärmeenergi</t>
    </r>
    <r>
      <rPr>
        <sz val="10"/>
        <color theme="1"/>
        <rFont val="Franklin Gothic Book"/>
        <family val="2"/>
      </rPr>
      <t xml:space="preserve"> (UHM 1A, rad 10) </t>
    </r>
  </si>
  <si>
    <r>
      <rPr>
        <b/>
        <sz val="10"/>
        <color theme="1"/>
        <rFont val="Franklin Gothic Book"/>
        <family val="2"/>
      </rPr>
      <t>Fjärrvärme eller bränslen</t>
    </r>
    <r>
      <rPr>
        <sz val="10"/>
        <color theme="1"/>
        <rFont val="Franklin Gothic Book"/>
        <family val="2"/>
      </rPr>
      <t xml:space="preserve"> </t>
    </r>
    <r>
      <rPr>
        <b/>
        <sz val="10"/>
        <color theme="1"/>
        <rFont val="Franklin Gothic Book"/>
        <family val="2"/>
      </rPr>
      <t>för normal användning av tappvarmvatten</t>
    </r>
    <r>
      <rPr>
        <sz val="10"/>
        <color theme="1"/>
        <rFont val="Franklin Gothic Book"/>
        <family val="2"/>
      </rPr>
      <t>.</t>
    </r>
  </si>
  <si>
    <r>
      <rPr>
        <b/>
        <sz val="10"/>
        <rFont val="Franklin Gothic Book"/>
        <family val="2"/>
      </rPr>
      <t>EL</t>
    </r>
    <r>
      <rPr>
        <sz val="10"/>
        <rFont val="Franklin Gothic Book"/>
        <family val="2"/>
      </rPr>
      <t xml:space="preserve"> (till värmepump eller annat) </t>
    </r>
    <r>
      <rPr>
        <b/>
        <sz val="10"/>
        <rFont val="Franklin Gothic Book"/>
        <family val="2"/>
      </rPr>
      <t>för tappvarmvatten</t>
    </r>
    <r>
      <rPr>
        <sz val="10"/>
        <rFont val="Franklin Gothic Book"/>
        <family val="2"/>
      </rPr>
      <t>. Alternativt se rad 16.</t>
    </r>
  </si>
  <si>
    <r>
      <rPr>
        <b/>
        <sz val="10"/>
        <rFont val="Franklin Gothic Book"/>
        <family val="2"/>
      </rPr>
      <t>EL</t>
    </r>
    <r>
      <rPr>
        <sz val="10"/>
        <rFont val="Franklin Gothic Book"/>
        <family val="2"/>
      </rPr>
      <t xml:space="preserve"> (till värmepump eller annat) </t>
    </r>
    <r>
      <rPr>
        <b/>
        <sz val="10"/>
        <rFont val="Franklin Gothic Book"/>
        <family val="2"/>
      </rPr>
      <t>för uppvärmning</t>
    </r>
    <r>
      <rPr>
        <sz val="10"/>
        <rFont val="Franklin Gothic Book"/>
        <family val="2"/>
      </rPr>
      <t>. Alternativt se rad 16.</t>
    </r>
  </si>
  <si>
    <r>
      <rPr>
        <b/>
        <sz val="10"/>
        <color theme="1"/>
        <rFont val="Franklin Gothic Book"/>
        <family val="2"/>
      </rPr>
      <t>Alternativ</t>
    </r>
    <r>
      <rPr>
        <sz val="10"/>
        <color theme="1"/>
        <rFont val="Franklin Gothic Book"/>
        <family val="2"/>
      </rPr>
      <t xml:space="preserve"> till rad 14 och 15. </t>
    </r>
    <r>
      <rPr>
        <b/>
        <sz val="10"/>
        <color theme="1"/>
        <rFont val="Franklin Gothic Book"/>
        <family val="2"/>
      </rPr>
      <t xml:space="preserve">EL </t>
    </r>
    <r>
      <rPr>
        <sz val="10"/>
        <color theme="1"/>
        <rFont val="Franklin Gothic Book"/>
        <family val="2"/>
      </rPr>
      <t>(till värmepump eller annat)</t>
    </r>
    <r>
      <rPr>
        <b/>
        <sz val="10"/>
        <color theme="1"/>
        <rFont val="Franklin Gothic Book"/>
        <family val="2"/>
      </rPr>
      <t xml:space="preserve"> för uppvärmning och tappvarmvatten</t>
    </r>
    <r>
      <rPr>
        <sz val="10"/>
        <color theme="1"/>
        <rFont val="Franklin Gothic Book"/>
        <family val="2"/>
      </rPr>
      <t>.</t>
    </r>
  </si>
  <si>
    <t>EL till fastighetsenergi.</t>
  </si>
  <si>
    <r>
      <rPr>
        <b/>
        <sz val="10"/>
        <color theme="1"/>
        <rFont val="Franklin Gothic Book"/>
        <family val="2"/>
      </rPr>
      <t xml:space="preserve">EL </t>
    </r>
    <r>
      <rPr>
        <sz val="10"/>
        <color theme="1"/>
        <rFont val="Franklin Gothic Book"/>
        <family val="2"/>
      </rPr>
      <t xml:space="preserve">till </t>
    </r>
    <r>
      <rPr>
        <b/>
        <sz val="10"/>
        <color theme="1"/>
        <rFont val="Franklin Gothic Book"/>
        <family val="2"/>
      </rPr>
      <t>komfortkyla</t>
    </r>
    <r>
      <rPr>
        <sz val="10"/>
        <color theme="1"/>
        <rFont val="Franklin Gothic Book"/>
        <family val="2"/>
      </rPr>
      <t xml:space="preserve"> (om ej inräknast i fastighetsenergi).</t>
    </r>
  </si>
  <si>
    <r>
      <rPr>
        <b/>
        <sz val="10"/>
        <color theme="1"/>
        <rFont val="Franklin Gothic Book"/>
        <family val="2"/>
      </rPr>
      <t>Fjärrkyla</t>
    </r>
    <r>
      <rPr>
        <sz val="10"/>
        <color theme="1"/>
        <rFont val="Franklin Gothic Book"/>
        <family val="2"/>
      </rPr>
      <t xml:space="preserve"> till komfortkyla.</t>
    </r>
  </si>
  <si>
    <r>
      <rPr>
        <b/>
        <sz val="10"/>
        <color theme="1"/>
        <rFont val="Franklin Gothic Book"/>
        <family val="2"/>
      </rPr>
      <t xml:space="preserve">El- och värmeproduktion </t>
    </r>
    <r>
      <rPr>
        <sz val="10"/>
        <rFont val="Franklin Gothic Book"/>
        <family val="2"/>
      </rPr>
      <t xml:space="preserve">från </t>
    </r>
    <r>
      <rPr>
        <sz val="10"/>
        <color theme="1"/>
        <rFont val="Franklin Gothic Book"/>
        <family val="2"/>
      </rPr>
      <t>solceller, solvärme m.m.</t>
    </r>
  </si>
  <si>
    <t>Summa byggnadens energianvändning enligt UHM 1B</t>
  </si>
  <si>
    <t>I summerad el för fastighetsenergi (rad 17), ange vad som utgör:</t>
  </si>
  <si>
    <t>...varav el till VVC</t>
  </si>
  <si>
    <t>...varav el till FTX</t>
  </si>
  <si>
    <t xml:space="preserve">      ….varav el till "fast" fastighetsbelysning</t>
  </si>
  <si>
    <t>…varav el till hissar (inklusive fast belysning)</t>
  </si>
  <si>
    <t>…varav el till garage  (inklusive fast belysning)</t>
  </si>
  <si>
    <t>… varav el till värme i hängrännor, stuprör, bjälklagskanter</t>
  </si>
  <si>
    <t xml:space="preserve"> Ange även vad som utgör:</t>
  </si>
  <si>
    <t>el till tvättstuga i byggnad (exklusive fast belysning)</t>
  </si>
  <si>
    <t>el till värme av gångvägar och trottoarer utanför byggnad</t>
  </si>
  <si>
    <t>el till gårdshus, fristående garage och fristående tvättstuga</t>
  </si>
  <si>
    <t>el till belysning av tomtmark och gårdar</t>
  </si>
  <si>
    <t>el till elbilsladdare, motorvärmare eller liknande</t>
  </si>
  <si>
    <t>Beräkning och uppföljning av värmeförlusttal (VFT), enligt UHM och FEBY</t>
  </si>
  <si>
    <t>Uppföljning av VFT med mätning av energisignatur</t>
  </si>
  <si>
    <t>Indata till värmeförlusttal</t>
  </si>
  <si>
    <t>Beräknat inför byggstart</t>
  </si>
  <si>
    <r>
      <t>U</t>
    </r>
    <r>
      <rPr>
        <vertAlign val="subscript"/>
        <sz val="11"/>
        <color rgb="FF000000"/>
        <rFont val="Franklin Gothic Book"/>
        <family val="2"/>
      </rPr>
      <t>m</t>
    </r>
    <r>
      <rPr>
        <sz val="11"/>
        <color rgb="FF000000"/>
        <rFont val="Franklin Gothic Book"/>
        <family val="2"/>
      </rPr>
      <t>-värde</t>
    </r>
  </si>
  <si>
    <r>
      <t>W/m</t>
    </r>
    <r>
      <rPr>
        <vertAlign val="superscript"/>
        <sz val="10"/>
        <color rgb="FF000000"/>
        <rFont val="Franklin Gothic Book"/>
        <family val="2"/>
      </rPr>
      <t>2</t>
    </r>
    <r>
      <rPr>
        <sz val="10"/>
        <color rgb="FF000000"/>
        <rFont val="Franklin Gothic Book"/>
        <family val="2"/>
      </rPr>
      <t xml:space="preserve">K </t>
    </r>
  </si>
  <si>
    <r>
      <t>Area, A</t>
    </r>
    <r>
      <rPr>
        <vertAlign val="subscript"/>
        <sz val="11"/>
        <color theme="1"/>
        <rFont val="Franklin Gothic Book"/>
        <family val="2"/>
      </rPr>
      <t>temp</t>
    </r>
  </si>
  <si>
    <r>
      <t>m</t>
    </r>
    <r>
      <rPr>
        <vertAlign val="superscript"/>
        <sz val="10"/>
        <color rgb="FF000000"/>
        <rFont val="Franklin Gothic Book"/>
        <family val="2"/>
      </rPr>
      <t>2</t>
    </r>
  </si>
  <si>
    <r>
      <t>Omslutningsarea, A</t>
    </r>
    <r>
      <rPr>
        <vertAlign val="subscript"/>
        <sz val="11"/>
        <color theme="1"/>
        <rFont val="Franklin Gothic Book"/>
        <family val="2"/>
      </rPr>
      <t>om</t>
    </r>
  </si>
  <si>
    <t>DVUT, ange</t>
  </si>
  <si>
    <t>C</t>
  </si>
  <si>
    <t>FTX-verkningsgrad</t>
  </si>
  <si>
    <r>
      <t>Genomsnittligt hygieniskt ventilationsflöde, q</t>
    </r>
    <r>
      <rPr>
        <vertAlign val="subscript"/>
        <sz val="11"/>
        <color theme="1"/>
        <rFont val="Franklin Gothic Book"/>
        <family val="2"/>
      </rPr>
      <t>m</t>
    </r>
    <r>
      <rPr>
        <sz val="11"/>
        <color theme="1"/>
        <rFont val="Franklin Gothic Book"/>
        <family val="2"/>
      </rPr>
      <t xml:space="preserve"> (q</t>
    </r>
    <r>
      <rPr>
        <vertAlign val="subscript"/>
        <sz val="11"/>
        <color theme="1"/>
        <rFont val="Franklin Gothic Book"/>
        <family val="2"/>
      </rPr>
      <t>vent</t>
    </r>
    <r>
      <rPr>
        <sz val="11"/>
        <color theme="1"/>
        <rFont val="Franklin Gothic Book"/>
        <family val="2"/>
      </rPr>
      <t>)</t>
    </r>
  </si>
  <si>
    <t>l/s</t>
  </si>
  <si>
    <t>Tilluftsflöde</t>
  </si>
  <si>
    <t>Frånluftsflöde</t>
  </si>
  <si>
    <t>Uppmätt värmeförlusttal efter renovering</t>
  </si>
  <si>
    <t>Period nr</t>
  </si>
  <si>
    <t>Mätperiod</t>
  </si>
  <si>
    <t>Utetemperatur</t>
  </si>
  <si>
    <t>Värmeenergi</t>
  </si>
  <si>
    <t>Timmedeleffekt</t>
  </si>
  <si>
    <t>q50</t>
  </si>
  <si>
    <r>
      <t>W/m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</si>
  <si>
    <t>längd, h</t>
  </si>
  <si>
    <t>°C</t>
  </si>
  <si>
    <t>kWh/mätperiod</t>
  </si>
  <si>
    <t>Wh/h</t>
  </si>
  <si>
    <t>Vindskyddskoefficient e</t>
  </si>
  <si>
    <t>Vindskyddskoefficient f</t>
  </si>
  <si>
    <t>Uppmätt värmeförlusttal före åtgärd</t>
  </si>
  <si>
    <r>
      <t>Läckluftflöde, q</t>
    </r>
    <r>
      <rPr>
        <vertAlign val="subscript"/>
        <sz val="11"/>
        <color rgb="FF000000"/>
        <rFont val="Franklin Gothic Book"/>
        <family val="2"/>
      </rPr>
      <t>läck</t>
    </r>
  </si>
  <si>
    <r>
      <t>W/m</t>
    </r>
    <r>
      <rPr>
        <vertAlign val="superscript"/>
        <sz val="11"/>
        <rFont val="Calibri"/>
        <family val="2"/>
        <scheme val="minor"/>
      </rPr>
      <t>2</t>
    </r>
    <r>
      <rPr>
        <sz val="11"/>
        <rFont val="Calibri"/>
        <family val="2"/>
        <scheme val="minor"/>
      </rPr>
      <t>A</t>
    </r>
    <r>
      <rPr>
        <vertAlign val="subscript"/>
        <sz val="11"/>
        <rFont val="Calibri"/>
        <family val="2"/>
        <scheme val="minor"/>
      </rPr>
      <t>temp</t>
    </r>
  </si>
  <si>
    <t>Värmeförlustkoefficient, HT</t>
  </si>
  <si>
    <t>W/K</t>
  </si>
  <si>
    <t>Vämeförlusttal</t>
  </si>
  <si>
    <r>
      <t>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</si>
  <si>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Enligt UHM och FEBY 18:</t>
  </si>
  <si>
    <t>Sammanställning av mätresultat med och utan korrigering från flikarna C2 och C3</t>
  </si>
  <si>
    <t>Byggnad, adress:</t>
  </si>
  <si>
    <t>Bränsle 1</t>
  </si>
  <si>
    <t>Bränsle 2</t>
  </si>
  <si>
    <t>Byggherre:</t>
  </si>
  <si>
    <t>Källa 1</t>
  </si>
  <si>
    <t>Källa 2</t>
  </si>
  <si>
    <t>Riksbyggnadsnyckel:</t>
  </si>
  <si>
    <r>
      <t>A</t>
    </r>
    <r>
      <rPr>
        <vertAlign val="subscript"/>
        <sz val="11"/>
        <color indexed="8"/>
        <rFont val="Franklin Gothic Book"/>
        <family val="2"/>
      </rPr>
      <t>temp</t>
    </r>
    <r>
      <rPr>
        <sz val="11"/>
        <color indexed="8"/>
        <rFont val="Franklin Gothic Book"/>
        <family val="2"/>
      </rPr>
      <t>:</t>
    </r>
  </si>
  <si>
    <r>
      <t>m</t>
    </r>
    <r>
      <rPr>
        <vertAlign val="superscript"/>
        <sz val="9"/>
        <color indexed="8"/>
        <rFont val="Franklin Gothic Book"/>
        <family val="2"/>
      </rPr>
      <t>2</t>
    </r>
  </si>
  <si>
    <t>Energisnåla armaturer, J/N:</t>
  </si>
  <si>
    <t>j</t>
  </si>
  <si>
    <t>Elvärmd byggnad, J/N:</t>
  </si>
  <si>
    <t>Solceller</t>
  </si>
  <si>
    <r>
      <t>m</t>
    </r>
    <r>
      <rPr>
        <vertAlign val="superscript"/>
        <sz val="11"/>
        <color indexed="8"/>
        <rFont val="Franklin Gothic Book"/>
        <family val="2"/>
      </rPr>
      <t>2</t>
    </r>
  </si>
  <si>
    <t>Installerad eleffekt för värme och varmvatten:</t>
  </si>
  <si>
    <t>Datum:</t>
  </si>
  <si>
    <t>Beräknad enl. relations-handling</t>
  </si>
  <si>
    <t>Uppmätt/ levererad</t>
  </si>
  <si>
    <t>Normaliserad med schablon</t>
  </si>
  <si>
    <t>Normaliserad med upprepad energiberäk-ning</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</si>
  <si>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</si>
  <si>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</si>
  <si>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Värme exkl. tappvarmvatten och VVC</t>
  </si>
  <si>
    <t>Tappvarmvatten</t>
  </si>
  <si>
    <t>Elkomfortkyla</t>
  </si>
  <si>
    <t>Fjärrkomfortkyla</t>
  </si>
  <si>
    <t>Driftel exkl. värme och kyla</t>
  </si>
  <si>
    <t>Verksamhetsenergi/hushållsenergi</t>
  </si>
  <si>
    <t>Pellets</t>
  </si>
  <si>
    <t>Borrhål</t>
  </si>
  <si>
    <t>Frikyla</t>
  </si>
  <si>
    <t>Egenproducerad el</t>
  </si>
  <si>
    <t>Ytjord</t>
  </si>
  <si>
    <t>Solvärme</t>
  </si>
  <si>
    <t>Gas</t>
  </si>
  <si>
    <t>Sjö</t>
  </si>
  <si>
    <t>Specifik energianvändning</t>
  </si>
  <si>
    <t>Dela upp per energibärare?</t>
  </si>
  <si>
    <t>Ved</t>
  </si>
  <si>
    <t>Uteluft</t>
  </si>
  <si>
    <t>Olja</t>
  </si>
  <si>
    <t>Frånluft</t>
  </si>
  <si>
    <t>Beräknad efter renovering</t>
  </si>
  <si>
    <t>Efter renovering år 2</t>
  </si>
  <si>
    <t>Normaliseringsunderlag för innetemperatur och hushålls-/verksamhetsenergi</t>
  </si>
  <si>
    <t>Normalisering av energi för tappvarmvatten</t>
  </si>
  <si>
    <t>Verkningsgrader TVV enligt BEN2</t>
  </si>
  <si>
    <t xml:space="preserve">Inmatningssida för mätvärden och beräknade värden </t>
  </si>
  <si>
    <t>Indatavärden</t>
  </si>
  <si>
    <t>Enhet</t>
  </si>
  <si>
    <t>Beräknad brukarindata</t>
  </si>
  <si>
    <t>Uppmätt brukarindata</t>
  </si>
  <si>
    <t>Avvikelse brukarindata</t>
  </si>
  <si>
    <t>TVV vid normalt brukande</t>
  </si>
  <si>
    <t>Med korrigering för energisnåla armaturer</t>
  </si>
  <si>
    <t>Tillgodoräk-nad solvärme eller avloppsvärme-växlare</t>
  </si>
  <si>
    <t>Normalt tappvarm-vatten med korrigering för verkningsgrad m.m.</t>
  </si>
  <si>
    <t>Uppmätt tappvarm-vatten</t>
  </si>
  <si>
    <t>Innetemperatur, vinter</t>
  </si>
  <si>
    <t>Andel bostad</t>
  </si>
  <si>
    <t>ByggnadsID:</t>
  </si>
  <si>
    <t>Verksamhets-/Hushållsenergi</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</si>
  <si>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</si>
  <si>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A</t>
    </r>
    <r>
      <rPr>
        <vertAlign val="subscript"/>
        <sz val="11"/>
        <color theme="1"/>
        <rFont val="Franklin Gothic Demi"/>
        <family val="2"/>
      </rPr>
      <t>temp</t>
    </r>
  </si>
  <si>
    <r>
      <t>kWh/m</t>
    </r>
    <r>
      <rPr>
        <vertAlign val="superscript"/>
        <sz val="11"/>
        <rFont val="Franklin Gothic Demi"/>
        <family val="2"/>
      </rPr>
      <t>2</t>
    </r>
    <r>
      <rPr>
        <sz val="11"/>
        <rFont val="Franklin Gothic Demi"/>
        <family val="2"/>
      </rPr>
      <t>A</t>
    </r>
    <r>
      <rPr>
        <vertAlign val="subscript"/>
        <sz val="11"/>
        <rFont val="Franklin Gothic Demi"/>
        <family val="2"/>
      </rPr>
      <t>temp</t>
    </r>
  </si>
  <si>
    <t>Startmånad för mätning:</t>
  </si>
  <si>
    <t>Värme:</t>
  </si>
  <si>
    <t>Efter åtgärd</t>
  </si>
  <si>
    <t>Energieff. blandare</t>
  </si>
  <si>
    <t>JA/NEJ</t>
  </si>
  <si>
    <t>Metod för klimatkorrigering värme:</t>
  </si>
  <si>
    <t>Ort för klimatkorrigering:</t>
  </si>
  <si>
    <t>El:</t>
  </si>
  <si>
    <t xml:space="preserve">År 2 </t>
  </si>
  <si>
    <t>SCOP TVV</t>
  </si>
  <si>
    <t>År 2 efter åtg.</t>
  </si>
  <si>
    <t>Metod för klimatkorrigering kyla:</t>
  </si>
  <si>
    <t>Komfortkyla:</t>
  </si>
  <si>
    <t>Debiteringsmätare per energibärare</t>
  </si>
  <si>
    <t>VP</t>
  </si>
  <si>
    <t>Korrigering för BBR-avgränsning per energibärare</t>
  </si>
  <si>
    <t>Uppmätta VVC-förluster per energibärare</t>
  </si>
  <si>
    <t>Uppmätt tappvarmvatten per energibärare</t>
  </si>
  <si>
    <t>Uppvärmning per energibärare</t>
  </si>
  <si>
    <t>Brukar- och klimatnormalisering uppvärmning</t>
  </si>
  <si>
    <t>Jämför uppmätt och ber. uppv.</t>
  </si>
  <si>
    <t>Normalisering TVV</t>
  </si>
  <si>
    <t>Uppmätt el</t>
  </si>
  <si>
    <t>Jfr</t>
  </si>
  <si>
    <t>Uppmätt kyla</t>
  </si>
  <si>
    <t>Mätvärden:</t>
  </si>
  <si>
    <t>BVP inkl tvv</t>
  </si>
  <si>
    <t>Ute</t>
  </si>
  <si>
    <t>BVP</t>
  </si>
  <si>
    <t>inkl vvc</t>
  </si>
  <si>
    <t>Köpt fjärrvärme</t>
  </si>
  <si>
    <t>Köpt el</t>
  </si>
  <si>
    <t>Köpt fjärrkyla</t>
  </si>
  <si>
    <t>Köpt biobränsle</t>
  </si>
  <si>
    <t>Köpt fossil olja och gas</t>
  </si>
  <si>
    <t>El till värmepump</t>
  </si>
  <si>
    <t>Korrigering BBR-avgränsn. fjärrvärme</t>
  </si>
  <si>
    <t>Korrigering BBR-avgränsn. el</t>
  </si>
  <si>
    <t>Korrigering BBR-avgränsn. fjärrkyla</t>
  </si>
  <si>
    <t>Korrigering BBR-avgränsn. biobränsle</t>
  </si>
  <si>
    <t>Korrigering BBR-avgränsn. olja och gas</t>
  </si>
  <si>
    <t>VVC-förluster fjärrvärme</t>
  </si>
  <si>
    <t>VVC-förluster el</t>
  </si>
  <si>
    <t>VVC-förluster biobränsle</t>
  </si>
  <si>
    <t>VVC-förluster olja och gas</t>
  </si>
  <si>
    <t>Tappvarm-vatten-användn. från volymmät-ning</t>
  </si>
  <si>
    <t>Tappvarm-vatten fjärrvärme</t>
  </si>
  <si>
    <t>Tappvarm-vatten el</t>
  </si>
  <si>
    <t>Tappvarm-vatten biobränsle</t>
  </si>
  <si>
    <t>Tappvarm-vatten olja och gas</t>
  </si>
  <si>
    <t>Tappvarm-vatten återvinning och solbidrag</t>
  </si>
  <si>
    <t>Uppvärm-ning  fjärrvärme</t>
  </si>
  <si>
    <t>Uppvärm-ning el</t>
  </si>
  <si>
    <t>Uppvärm-ning biobränsle</t>
  </si>
  <si>
    <t>Uppvärm-ning olja och gas</t>
  </si>
  <si>
    <t>Summa uppvärm-ning</t>
  </si>
  <si>
    <t>Korrigering till  normal inne-temperatur</t>
  </si>
  <si>
    <t>Korrigering till normal hushållsel/ verksamhets-el</t>
  </si>
  <si>
    <t>Värme- divisor</t>
  </si>
  <si>
    <t>Normaliserad uppvärmning.</t>
  </si>
  <si>
    <t>Beräknad uppvärmning per månad (exkl VVC)</t>
  </si>
  <si>
    <t>Solvärme till upp-värmning</t>
  </si>
  <si>
    <t>Korrigering BBR-avgränsning</t>
  </si>
  <si>
    <t>Summa uppmätt tappvarm-vatten</t>
  </si>
  <si>
    <t>Korr för BBR-avgränsning</t>
  </si>
  <si>
    <t xml:space="preserve">Fastighetsel </t>
  </si>
  <si>
    <t>Beräknad fastighetsel</t>
  </si>
  <si>
    <t>Egen-producerad el</t>
  </si>
  <si>
    <t>Verksamhetsel/Hushållsel</t>
  </si>
  <si>
    <t>Köpt elkyla</t>
  </si>
  <si>
    <t>Process-elkyla</t>
  </si>
  <si>
    <t>Komfortkyla fjärrkyla</t>
  </si>
  <si>
    <t>Komfortkyla elkyla</t>
  </si>
  <si>
    <t>Kyla-divisor</t>
  </si>
  <si>
    <t>Korrigerad och norma-liserad komfortkyla fjärrkyla</t>
  </si>
  <si>
    <t>Korrigerad och norma-liserad komfortkyla elkyla</t>
  </si>
  <si>
    <t>Beräknad komfortkyla fjärrkyla</t>
  </si>
  <si>
    <t>Beräknad komfortkyla elkyla</t>
  </si>
  <si>
    <t>Månad nr</t>
  </si>
  <si>
    <r>
      <t>m</t>
    </r>
    <r>
      <rPr>
        <vertAlign val="superscript"/>
        <sz val="11"/>
        <color theme="1"/>
        <rFont val="Franklin Gothic Demi"/>
        <family val="2"/>
      </rPr>
      <t>3</t>
    </r>
  </si>
  <si>
    <t>Helår</t>
  </si>
  <si>
    <t>Summa före åtgärd</t>
  </si>
  <si>
    <t>Summa efter åtgärd</t>
  </si>
  <si>
    <t>Summa år 2 efter</t>
  </si>
  <si>
    <t>Allmänt råd  (BEN 2, bostäder)</t>
  </si>
  <si>
    <t xml:space="preserve">En icke försumbar påverkan innebär att byggnadens energianvändning för </t>
  </si>
  <si>
    <t xml:space="preserve">uppvärmning och komfortkyla har påverkats mer än 3 kWh/m2 och år. </t>
  </si>
  <si>
    <t xml:space="preserve"> Andelen av hushållsenergin som kommer byggnaden tillgodo som värme </t>
  </si>
  <si>
    <t xml:space="preserve">under uppvärmningssäsongen kan antas till 70 procent.  </t>
  </si>
  <si>
    <t xml:space="preserve"> Normal användning av hushållsenergi är 30 kWh/m2 Atemp år och kan an-</t>
  </si>
  <si>
    <t xml:space="preserve">vändas som grund för normalisering av uppvärmningsenergi vid avvikande </t>
  </si>
  <si>
    <t xml:space="preserve">användning av hushållsenergi enligt </t>
  </si>
  <si>
    <t xml:space="preserve"> där </t>
  </si>
  <si>
    <t xml:space="preserve"> Ekorr: Korrigering av energi till uppvärmning (kWh/år). </t>
  </si>
  <si>
    <t xml:space="preserve"> Eh,avv: Positiv eller negativ skillnad mellan uppmätt värde och normal </t>
  </si>
  <si>
    <t xml:space="preserve">användning av hushållsenergi (kWh/m2år). </t>
  </si>
  <si>
    <t xml:space="preserve"> Ih: Andel av hushållsenergin som kommer byggnaden tillgodo som värme. </t>
  </si>
  <si>
    <t xml:space="preserve"> tuppv: Uppvärmningssäsongens längd (h). </t>
  </si>
  <si>
    <t xml:space="preserve"> ηuppv: Årsverkningsgrad hos värmekällan för uppvärmning. </t>
  </si>
  <si>
    <t xml:space="preserve">(BFS 2017:6). </t>
  </si>
  <si>
    <t>Verifieringsunderlag för upprepad energiberäkning</t>
  </si>
  <si>
    <t>Använd denna sida för att dokumentera brukarindata (tabell 1) och utdata vid normalisering med upprepad energiberäkning enligt BEN (tabell 2). Korrigeringsdivisorerna räknas ut i tabell 2.</t>
  </si>
  <si>
    <t xml:space="preserve">Tabell 1. Dokumenterande underlag för korrigering av avvikelser i brukande </t>
  </si>
  <si>
    <t>Icke försumbar avvikelse</t>
  </si>
  <si>
    <t>&gt;±3</t>
  </si>
  <si>
    <t>&gt;±1,0</t>
  </si>
  <si>
    <t>Innetemperatur, sommar</t>
  </si>
  <si>
    <t>Drifttider, vardagar</t>
  </si>
  <si>
    <t>h</t>
  </si>
  <si>
    <t>Drifttider, helger</t>
  </si>
  <si>
    <t>Luftflöden, närvaro</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</si>
  <si>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</si>
  <si>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Luftflöden ej närvaro</t>
  </si>
  <si>
    <t xml:space="preserve">&gt;±3 </t>
  </si>
  <si>
    <t>Övrigt, ange</t>
  </si>
  <si>
    <t>Tabell 2. Resultat för korrigering vid beräkning med upprepad dynamisk energiberäkning</t>
  </si>
  <si>
    <t>Energiprestandapåverkan utdata</t>
  </si>
  <si>
    <t>Beräknat enl. relationshandling</t>
  </si>
  <si>
    <t>Beräknat för år 1</t>
  </si>
  <si>
    <t>Korrigerings-divisor</t>
  </si>
  <si>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</si>
  <si>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</si>
  <si>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t>Uppvärmning exkl TVV och VVC</t>
  </si>
  <si>
    <t>Elkyla</t>
  </si>
  <si>
    <t>Driftel exkl värme och kyla</t>
  </si>
  <si>
    <t xml:space="preserve">Beräknat efter renovering </t>
  </si>
  <si>
    <t>Beräknat efter åtgärd, år 2</t>
  </si>
  <si>
    <t>Mätplan - underlag för dokumentation</t>
  </si>
  <si>
    <t>Mätare för värme och tappvarmvatten</t>
  </si>
  <si>
    <t>Mätartyp</t>
  </si>
  <si>
    <t xml:space="preserve">Placering </t>
  </si>
  <si>
    <t>ID nr</t>
  </si>
  <si>
    <t>Betjäningsområde</t>
  </si>
  <si>
    <t>Mätenhet</t>
  </si>
  <si>
    <t>Mätt/Fördelat M/F</t>
  </si>
  <si>
    <t>Mätare för kyla</t>
  </si>
  <si>
    <t>Placering</t>
  </si>
  <si>
    <t>Mätare för el</t>
  </si>
  <si>
    <t>Mätarkonstant</t>
  </si>
  <si>
    <t>KOMMUNNAMN</t>
  </si>
  <si>
    <t>Välj källa</t>
  </si>
  <si>
    <t>Värmepumpskälla</t>
  </si>
  <si>
    <t>Ale</t>
  </si>
  <si>
    <t>Alingsås</t>
  </si>
  <si>
    <t>Alvesta</t>
  </si>
  <si>
    <t>Naturgas</t>
  </si>
  <si>
    <t>Berg</t>
  </si>
  <si>
    <t>Aneby</t>
  </si>
  <si>
    <t>Mark</t>
  </si>
  <si>
    <t>Arboga</t>
  </si>
  <si>
    <t>Arjeplog</t>
  </si>
  <si>
    <t>Arvidsjaur</t>
  </si>
  <si>
    <t>Arvika</t>
  </si>
  <si>
    <t>Askersund</t>
  </si>
  <si>
    <t>Avesta</t>
  </si>
  <si>
    <t>Bengtsfors</t>
  </si>
  <si>
    <t>Energibärare:</t>
  </si>
  <si>
    <t>Bjurholm</t>
  </si>
  <si>
    <t>Bjuv</t>
  </si>
  <si>
    <t>Boden</t>
  </si>
  <si>
    <t>Bollebygd</t>
  </si>
  <si>
    <t>Byggnadskategori</t>
  </si>
  <si>
    <t>En- och tvåbostadshus</t>
  </si>
  <si>
    <t>Flerbostadshus</t>
  </si>
  <si>
    <t>Lokal</t>
  </si>
  <si>
    <t>Bollnäs</t>
  </si>
  <si>
    <t>Byggnadskomplexitet</t>
  </si>
  <si>
    <t>Enkel</t>
  </si>
  <si>
    <t>Komplex</t>
  </si>
  <si>
    <t>Borgholm</t>
  </si>
  <si>
    <t>Byggnadstyp</t>
  </si>
  <si>
    <t>Friliggande</t>
  </si>
  <si>
    <t>Sammanbyggd</t>
  </si>
  <si>
    <t>Borlänge</t>
  </si>
  <si>
    <t>BBRversion</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</si>
  <si>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</si>
  <si>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</si>
  <si>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</si>
  <si>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</si>
  <si>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</si>
  <si>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</si>
  <si>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</si>
  <si>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</si>
  <si>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</si>
  <si>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</si>
  <si>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</si>
  <si>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</si>
  <si>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</si>
  <si>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</si>
  <si>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</si>
  <si>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</si>
  <si>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</si>
  <si>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</si>
  <si>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</si>
  <si>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</si>
  <si>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</si>
  <si>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</si>
  <si>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</si>
  <si>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</si>
  <si>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</si>
  <si>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</si>
  <si>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</si>
  <si>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</si>
  <si>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</si>
  <si>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</si>
  <si>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</si>
  <si>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</si>
  <si>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</si>
  <si>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</si>
  <si>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</si>
  <si>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</si>
  <si>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</si>
  <si>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</si>
  <si>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</si>
  <si>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</si>
  <si>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</si>
  <si>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</si>
  <si>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</si>
  <si>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</si>
  <si>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</si>
  <si>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</si>
  <si>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</si>
  <si>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</si>
  <si>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</si>
  <si>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</si>
  <si>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</si>
  <si>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</si>
  <si>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</si>
  <si>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</si>
  <si>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</si>
  <si>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</si>
  <si>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</si>
  <si>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</si>
  <si>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</si>
  <si>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</si>
  <si>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</si>
  <si>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</si>
  <si>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</si>
  <si>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</si>
  <si>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</si>
  <si>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</si>
  <si>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</si>
  <si>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</si>
  <si>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</si>
  <si>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</si>
  <si>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</si>
  <si>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</si>
  <si>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</si>
  <si>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</si>
  <si>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</si>
  <si>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</si>
  <si>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</si>
  <si>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</si>
  <si>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</si>
  <si>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</si>
  <si>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</si>
  <si>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</si>
  <si>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</si>
  <si>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</si>
  <si>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</si>
  <si>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</si>
  <si>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</si>
  <si>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</si>
  <si>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</si>
  <si>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</si>
  <si>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</si>
  <si>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</si>
  <si>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</si>
  <si>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</si>
  <si>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</si>
  <si>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</si>
  <si>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</si>
  <si>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</si>
  <si>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</si>
  <si>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</si>
  <si>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</si>
  <si>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</si>
  <si>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</si>
  <si>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</si>
  <si>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</si>
  <si>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</si>
  <si>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</si>
  <si>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</si>
  <si>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</si>
  <si>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</si>
  <si>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</si>
  <si>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</si>
  <si>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</si>
  <si>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</si>
  <si>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</si>
  <si>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</si>
  <si>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t>
  </si>
  <si>
    <t>Malå</t>
  </si>
  <si>
    <t>Mariestad</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</si>
  <si>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</si>
  <si>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</si>
  <si>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</si>
  <si>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</si>
  <si>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</si>
  <si>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</si>
  <si>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</si>
  <si>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</si>
  <si>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</si>
  <si>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</si>
  <si>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</si>
  <si>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</si>
  <si>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</si>
  <si>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</si>
  <si>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</si>
  <si>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</si>
  <si>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</si>
  <si>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</si>
  <si>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</si>
  <si>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</si>
  <si>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</si>
  <si>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</si>
  <si>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</si>
  <si>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</si>
  <si>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</si>
  <si>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</si>
  <si>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</si>
  <si>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</si>
  <si>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</si>
  <si>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</si>
  <si>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</si>
  <si>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</si>
  <si>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</si>
  <si>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</si>
  <si>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</si>
  <si>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</si>
  <si>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</si>
  <si>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</si>
  <si>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</si>
  <si>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</si>
  <si>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</si>
  <si>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</si>
  <si>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</si>
  <si>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</si>
  <si>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</si>
  <si>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</si>
  <si>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</si>
  <si>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</si>
  <si>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</si>
  <si>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</si>
  <si>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</si>
  <si>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</si>
  <si>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</si>
  <si>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</si>
  <si>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</si>
  <si>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</si>
  <si>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</si>
  <si>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</si>
  <si>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</si>
  <si>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</si>
  <si>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</si>
  <si>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</si>
  <si>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</si>
  <si>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</si>
  <si>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</si>
  <si>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</si>
  <si>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</si>
  <si>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</si>
  <si>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</si>
  <si>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</si>
  <si>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</si>
  <si>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</si>
  <si>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</si>
  <si>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</si>
  <si>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</si>
  <si>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</si>
  <si>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</si>
  <si>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</si>
  <si>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</si>
  <si>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</si>
  <si>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</si>
  <si>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</si>
  <si>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</si>
  <si>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</si>
  <si>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</si>
  <si>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</si>
  <si>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</si>
  <si>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</si>
  <si>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</si>
  <si>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</si>
  <si>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</si>
  <si>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</si>
  <si>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</si>
  <si>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</si>
  <si>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</si>
  <si>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</si>
  <si>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</si>
  <si>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</si>
  <si>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</si>
  <si>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</si>
  <si>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Upplands-Bro</t>
  </si>
  <si>
    <t>Upplands Väsby</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</si>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</sst>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2" x14ac:knownFonts="1">
    <font>
      <sz val="11"/>
      <color theme="1"/>
      <name val="Calibri"/>
      <family val="2"/>
      <scheme val="minor"/>
    </font>
    <font>
      <sz val="8"/>
      <name val="Arial"/>
      <family val="2"/>
    </font>
    <font>
      <sz val="10"/>
      <color indexed="8"/>
      <name val="Franklin Gothic Book"/>
      <family val="2"/>
    </font>
    <font>
      <sz val="9"/>
      <color indexed="81"/>
      <name val="Tahoma"/>
      <family val="2"/>
    </font>
    <font>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9"/>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z val="10"/>
      <color rgb="FFFF0000"/>
      <name val="Franklin Gothic Book"/>
      <family val="2"/>
    </font>
    <font>
      <strike/>
      <sz val="11"/>
      <color theme="1"/>
      <name val="Franklin Gothic Book"/>
      <family val="2"/>
    </font>
    <font>
      <b/>
      <sz val="9"/>
      <color indexed="81"/>
      <name val="Tahoma"/>
      <family val="2"/>
    </font>
    <font>
      <sz val="8"/>
      <color rgb="FFFF0000"/>
      <name val="Arial"/>
      <family val="2"/>
    </font>
    <font>
      <sz val="10"/>
      <name val="Franklin Gothic Book"/>
      <family val="2"/>
    </font>
    <font>
      <vertAlign val="superscript"/>
      <sz val="11"/>
      <name val="Franklin Gothic Demi"/>
      <family val="2"/>
    </font>
    <font>
      <vertAlign val="subscript"/>
      <sz val="11"/>
      <name val="Franklin Gothic Demi"/>
      <family val="2"/>
    </font>
    <font>
      <sz val="14"/>
      <color rgb="FFFFFFFF"/>
      <name val="Franklin Gothic Demi"/>
      <family val="2"/>
    </font>
    <font>
      <vertAlign val="subscript"/>
      <sz val="10"/>
      <color theme="1"/>
      <name val="Franklin Gothic Book"/>
      <family val="2"/>
    </font>
    <font>
      <vertAlign val="superscript"/>
      <sz val="10"/>
      <color theme="1"/>
      <name val="Franklin Gothic Book"/>
      <family val="2"/>
    </font>
    <font>
      <vertAlign val="superscript"/>
      <sz val="14"/>
      <color rgb="FFFFFFFF"/>
      <name val="Franklin Gothic Demi"/>
      <family val="2"/>
    </font>
    <font>
      <vertAlign val="subscript"/>
      <sz val="14"/>
      <color rgb="FFFFFFFF"/>
      <name val="Franklin Gothic Demi"/>
      <family val="2"/>
    </font>
    <font>
      <vertAlign val="superscript"/>
      <sz val="10"/>
      <color theme="1"/>
      <name val="Franklin Gothic Demi"/>
      <family val="2"/>
    </font>
    <font>
      <vertAlign val="subscript"/>
      <sz val="10"/>
      <color theme="1"/>
      <name val="Franklin Gothic Demi"/>
      <family val="2"/>
    </font>
    <font>
      <sz val="10"/>
      <color rgb="FF000000"/>
      <name val="Franklin Gothic Demi"/>
      <family val="2"/>
    </font>
    <font>
      <vertAlign val="subscript"/>
      <sz val="10"/>
      <color rgb="FF000000"/>
      <name val="Franklin Gothic Demi"/>
      <family val="2"/>
    </font>
    <font>
      <sz val="10"/>
      <color rgb="FF000000"/>
      <name val="Franklin Gothic Book"/>
      <family val="2"/>
    </font>
    <font>
      <vertAlign val="superscript"/>
      <sz val="10"/>
      <color rgb="FF000000"/>
      <name val="Franklin Gothic Book"/>
      <family val="2"/>
    </font>
    <font>
      <sz val="9"/>
      <color rgb="FFFF0000"/>
      <name val="Franklin Gothic Book"/>
      <family val="2"/>
    </font>
    <font>
      <sz val="9"/>
      <color indexed="81"/>
      <name val="Franklin Gothic Book"/>
      <family val="2"/>
    </font>
    <font>
      <sz val="11"/>
      <color theme="1"/>
      <name val="Calibri"/>
      <family val="2"/>
      <scheme val="minor"/>
    </font>
    <font>
      <b/>
      <sz val="14"/>
      <color theme="1"/>
      <name val="Calibri"/>
      <family val="2"/>
      <scheme val="minor"/>
    </font>
    <font>
      <vertAlign val="subscript"/>
      <sz val="11"/>
      <color theme="1"/>
      <name val="Calibri"/>
      <family val="2"/>
      <scheme val="minor"/>
    </font>
    <font>
      <b/>
      <sz val="14"/>
      <color rgb="FFFF0000"/>
      <name val="Calibri"/>
      <family val="2"/>
      <scheme val="minor"/>
    </font>
    <font>
      <vertAlign val="superscript"/>
      <sz val="11"/>
      <color theme="1"/>
      <name val="Calibri"/>
      <family val="2"/>
      <scheme val="minor"/>
    </font>
    <font>
      <sz val="12"/>
      <color theme="1"/>
      <name val="Calibri"/>
      <family val="2"/>
      <scheme val="minor"/>
    </font>
    <font>
      <sz val="8"/>
      <color theme="1"/>
      <name val="Franklin Gothic Demi"/>
      <family val="2"/>
    </font>
    <font>
      <sz val="14"/>
      <name val="Franklin Gothic Demi"/>
      <family val="2"/>
    </font>
    <font>
      <sz val="16"/>
      <color rgb="FFFF0000"/>
      <name val="Calibri"/>
      <family val="2"/>
      <scheme val="minor"/>
    </font>
    <font>
      <sz val="12"/>
      <name val="Calibri"/>
      <family val="2"/>
      <scheme val="minor"/>
    </font>
    <font>
      <vertAlign val="subscript"/>
      <sz val="11"/>
      <color theme="1"/>
      <name val="Franklin Gothic Demi"/>
      <family val="2"/>
    </font>
    <font>
      <sz val="8"/>
      <color rgb="FFFF0000"/>
      <name val="Franklin Gothic Book"/>
      <family val="2"/>
    </font>
    <font>
      <sz val="10.5"/>
      <color rgb="FF000000"/>
      <name val="Franklin Gothic Demi"/>
      <family val="2"/>
    </font>
    <font>
      <sz val="11"/>
      <color rgb="FF000000"/>
      <name val="Franklin Gothic Book"/>
      <family val="2"/>
    </font>
    <font>
      <sz val="10"/>
      <color theme="3"/>
      <name val="Franklin Gothic Book"/>
      <family val="2"/>
    </font>
    <font>
      <vertAlign val="superscript"/>
      <sz val="10"/>
      <name val="Franklin Gothic Book"/>
      <family val="2"/>
    </font>
    <font>
      <vertAlign val="subscript"/>
      <sz val="10"/>
      <name val="Franklin Gothic Book"/>
      <family val="2"/>
    </font>
    <font>
      <sz val="10"/>
      <color theme="6" tint="-0.499984740745262"/>
      <name val="Franklin Gothic Book"/>
      <family val="2"/>
    </font>
    <font>
      <vertAlign val="superscript"/>
      <sz val="11"/>
      <color theme="1"/>
      <name val="Franklin Gothic Demi"/>
      <family val="2"/>
    </font>
    <font>
      <vertAlign val="subscript"/>
      <sz val="10"/>
      <color theme="3"/>
      <name val="Franklin Gothic Book"/>
      <family val="2"/>
    </font>
    <font>
      <vertAlign val="subscript"/>
      <sz val="10"/>
      <color theme="6" tint="-0.499984740745262"/>
      <name val="Franklin Gothic Book"/>
      <family val="2"/>
    </font>
    <font>
      <vertAlign val="subscript"/>
      <sz val="11"/>
      <color theme="1"/>
      <name val="Franklin Gothic Book"/>
      <family val="2"/>
    </font>
    <font>
      <sz val="11"/>
      <color indexed="81"/>
      <name val="Franklin Gothic Book"/>
      <family val="2"/>
    </font>
    <font>
      <sz val="12"/>
      <color rgb="FF000000"/>
      <name val="Franklin Gothic Demi"/>
      <family val="2"/>
    </font>
    <font>
      <vertAlign val="superscript"/>
      <sz val="10"/>
      <color rgb="FF000000"/>
      <name val="Franklin Gothic Demi"/>
      <family val="2"/>
    </font>
    <font>
      <vertAlign val="subscript"/>
      <sz val="11"/>
      <color rgb="FF000000"/>
      <name val="Franklin Gothic Book"/>
      <family val="2"/>
    </font>
    <font>
      <sz val="10"/>
      <name val="Calibri"/>
      <family val="2"/>
      <scheme val="minor"/>
    </font>
    <font>
      <sz val="10"/>
      <name val="Calibri"/>
      <family val="2"/>
    </font>
    <font>
      <vertAlign val="subscript"/>
      <sz val="9"/>
      <color indexed="81"/>
      <name val="Tahoma"/>
      <family val="2"/>
    </font>
    <font>
      <vertAlign val="superscript"/>
      <sz val="9"/>
      <color indexed="81"/>
      <name val="Tahoma"/>
      <family val="2"/>
    </font>
    <font>
      <sz val="14"/>
      <color theme="1"/>
      <name val="Calibri"/>
      <family val="2"/>
      <scheme val="minor"/>
    </font>
    <font>
      <vertAlign val="superscript"/>
      <sz val="12"/>
      <color theme="1"/>
      <name val="Franklin Gothic Demi"/>
      <family val="2"/>
    </font>
    <font>
      <vertAlign val="subscript"/>
      <sz val="12"/>
      <color theme="1"/>
      <name val="Franklin Gothic Demi"/>
      <family val="2"/>
    </font>
    <font>
      <b/>
      <sz val="10"/>
      <name val="Franklin Gothic Book"/>
      <family val="2"/>
    </font>
    <font>
      <vertAlign val="superscript"/>
      <sz val="11"/>
      <name val="Calibri"/>
      <family val="2"/>
      <scheme val="minor"/>
    </font>
    <font>
      <vertAlign val="subscript"/>
      <sz val="11"/>
      <name val="Calibri"/>
      <family val="2"/>
      <scheme val="minor"/>
    </font>
    <font>
      <sz val="8"/>
      <color rgb="FF000000"/>
      <name val="Tahoma"/>
      <family val="2"/>
    </font>
  </fonts>
  <fills count="23">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rgb="FF5559AB"/>
        <bgColor indexed="64"/>
      </patternFill>
    </fill>
    <fill>
      <patternFill patternType="solid">
        <fgColor rgb="FFFF0000"/>
        <bgColor indexed="64"/>
      </patternFill>
    </fill>
    <fill>
      <patternFill patternType="solid">
        <fgColor rgb="FFFF0066"/>
        <bgColor indexed="64"/>
      </patternFill>
    </fill>
    <fill>
      <patternFill patternType="solid">
        <fgColor rgb="FF92D050"/>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5" tint="0.59999389629810485"/>
        <bgColor indexed="64"/>
      </patternFill>
    </fill>
  </fills>
  <borders count="88">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ck">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0" fontId="65" fillId="0" borderId="0"/>
    <xf numFmtId="1" fontId="22" fillId="4" borderId="46" applyNumberFormat="0" applyFont="0" applyFill="0" applyBorder="0" applyAlignment="0">
      <alignment horizontal="center"/>
    </xf>
    <xf numFmtId="1" fontId="22" fillId="4" borderId="46" applyNumberFormat="0" applyFont="0" applyFill="0" applyBorder="0" applyAlignment="0">
      <alignment horizontal="center"/>
      <protection hidden="1"/>
    </xf>
    <xf numFmtId="1" fontId="22" fillId="4" borderId="46" applyNumberFormat="0" applyFont="0" applyFill="0" applyBorder="0" applyAlignment="0">
      <alignment horizontal="center"/>
      <protection locked="0"/>
    </xf>
  </cellStyleXfs>
  <cellXfs count="1399">
    <xf numFmtId="0" fontId="0" fillId="0" borderId="0" xfId="0"/>
    <xf numFmtId="49" fontId="25" fillId="0" borderId="0" xfId="1" applyNumberFormat="1" applyFont="1" applyAlignment="1">
      <alignment horizontal="center" vertical="center" wrapText="1"/>
    </xf>
    <xf numFmtId="49" fontId="65" fillId="0" borderId="0" xfId="1" applyNumberFormat="1" applyAlignment="1">
      <alignment vertical="center" wrapText="1"/>
    </xf>
    <xf numFmtId="0" fontId="0" fillId="0" borderId="0" xfId="0" applyAlignment="1">
      <alignment horizontal="right"/>
    </xf>
    <xf numFmtId="0" fontId="34" fillId="0" borderId="0" xfId="0" applyFont="1"/>
    <xf numFmtId="0" fontId="0" fillId="0" borderId="73" xfId="4" applyNumberFormat="1" applyFont="1" applyFill="1" applyBorder="1" applyAlignment="1">
      <alignment horizontal="left" vertical="top" wrapText="1"/>
      <protection locked="0"/>
    </xf>
    <xf numFmtId="0" fontId="29" fillId="5" borderId="63" xfId="4" applyNumberFormat="1" applyFont="1" applyFill="1" applyBorder="1" applyAlignment="1">
      <alignment horizontal="center"/>
      <protection locked="0"/>
    </xf>
    <xf numFmtId="0" fontId="29" fillId="5" borderId="14" xfId="4" applyNumberFormat="1" applyFont="1" applyFill="1" applyBorder="1" applyAlignment="1">
      <alignment horizontal="center"/>
      <protection locked="0"/>
    </xf>
    <xf numFmtId="0" fontId="49" fillId="5" borderId="20" xfId="4" applyNumberFormat="1" applyFont="1" applyFill="1" applyBorder="1" applyAlignment="1">
      <alignment horizontal="center"/>
      <protection locked="0"/>
    </xf>
    <xf numFmtId="0" fontId="49" fillId="5" borderId="13" xfId="4" applyNumberFormat="1" applyFont="1" applyFill="1" applyBorder="1" applyAlignment="1">
      <alignment horizontal="center"/>
      <protection locked="0"/>
    </xf>
    <xf numFmtId="0" fontId="49" fillId="5" borderId="14" xfId="4" applyNumberFormat="1" applyFont="1" applyFill="1" applyBorder="1" applyAlignment="1">
      <alignment horizontal="center"/>
      <protection locked="0"/>
    </xf>
    <xf numFmtId="2" fontId="49" fillId="5" borderId="20" xfId="4" applyNumberFormat="1" applyFont="1" applyFill="1" applyBorder="1" applyAlignment="1">
      <alignment horizontal="center"/>
      <protection locked="0"/>
    </xf>
    <xf numFmtId="2" fontId="49" fillId="5" borderId="13" xfId="4" applyNumberFormat="1" applyFont="1" applyFill="1" applyBorder="1" applyAlignment="1">
      <alignment horizontal="center"/>
      <protection locked="0"/>
    </xf>
    <xf numFmtId="2" fontId="49" fillId="5" borderId="14" xfId="4" applyNumberFormat="1" applyFont="1" applyFill="1" applyBorder="1" applyAlignment="1">
      <alignment horizontal="center"/>
      <protection locked="0"/>
    </xf>
    <xf numFmtId="0" fontId="0" fillId="5" borderId="13" xfId="4" applyNumberFormat="1" applyFont="1" applyFill="1" applyBorder="1" applyAlignment="1">
      <protection locked="0"/>
    </xf>
    <xf numFmtId="0" fontId="22" fillId="5" borderId="41" xfId="4" applyNumberFormat="1" applyFont="1" applyFill="1" applyBorder="1" applyAlignment="1">
      <protection locked="0"/>
    </xf>
    <xf numFmtId="0" fontId="22" fillId="5" borderId="58" xfId="4" applyNumberFormat="1" applyFont="1" applyFill="1" applyBorder="1" applyAlignment="1">
      <protection locked="0"/>
    </xf>
    <xf numFmtId="0" fontId="22" fillId="5" borderId="45" xfId="4" applyNumberFormat="1" applyFont="1" applyFill="1" applyBorder="1" applyAlignment="1">
      <protection locked="0"/>
    </xf>
    <xf numFmtId="0" fontId="1" fillId="2" borderId="0" xfId="2" applyNumberFormat="1" applyFont="1" applyFill="1" applyBorder="1" applyAlignment="1">
      <alignment horizontal="right"/>
    </xf>
    <xf numFmtId="0" fontId="31" fillId="3" borderId="0" xfId="2" applyNumberFormat="1" applyFont="1" applyFill="1" applyBorder="1" applyAlignment="1"/>
    <xf numFmtId="0" fontId="77" fillId="3" borderId="0" xfId="2" applyNumberFormat="1" applyFont="1" applyFill="1" applyBorder="1" applyAlignment="1">
      <alignment horizontal="left" vertical="center" indent="5"/>
    </xf>
    <xf numFmtId="0" fontId="0" fillId="3" borderId="0" xfId="2" applyNumberFormat="1" applyFont="1" applyFill="1" applyBorder="1" applyAlignment="1"/>
    <xf numFmtId="0" fontId="78" fillId="3" borderId="0" xfId="2" applyNumberFormat="1" applyFont="1" applyFill="1" applyBorder="1" applyAlignment="1"/>
    <xf numFmtId="0" fontId="78" fillId="3" borderId="0" xfId="2" applyNumberFormat="1" applyFont="1" applyFill="1" applyBorder="1" applyAlignment="1">
      <alignment horizontal="left" vertical="center" indent="6"/>
    </xf>
    <xf numFmtId="0" fontId="52" fillId="10" borderId="16" xfId="2" applyNumberFormat="1" applyFont="1" applyFill="1" applyBorder="1" applyAlignment="1">
      <alignment vertical="center" wrapText="1"/>
    </xf>
    <xf numFmtId="0" fontId="37" fillId="3" borderId="16" xfId="2" applyNumberFormat="1" applyFont="1" applyFill="1" applyBorder="1" applyAlignment="1">
      <alignment horizontal="right" vertical="center" wrapText="1"/>
    </xf>
    <xf numFmtId="0" fontId="49" fillId="4" borderId="52" xfId="2" applyNumberFormat="1" applyFont="1" applyFill="1" applyBorder="1" applyAlignment="1">
      <alignment vertical="center" wrapText="1"/>
    </xf>
    <xf numFmtId="0" fontId="0" fillId="4" borderId="37" xfId="2" applyNumberFormat="1" applyFont="1" applyFill="1" applyBorder="1" applyAlignment="1">
      <alignment horizontal="left" vertical="top" wrapText="1"/>
    </xf>
    <xf numFmtId="0" fontId="27" fillId="3" borderId="16" xfId="2" applyNumberFormat="1" applyFont="1" applyFill="1" applyBorder="1" applyAlignment="1">
      <alignment horizontal="right"/>
    </xf>
    <xf numFmtId="0" fontId="27" fillId="3" borderId="16" xfId="2" applyNumberFormat="1" applyFont="1" applyFill="1" applyBorder="1" applyAlignment="1">
      <alignment horizontal="right" vertical="center" wrapText="1"/>
    </xf>
    <xf numFmtId="0" fontId="49" fillId="4" borderId="33" xfId="2" applyNumberFormat="1" applyFont="1" applyFill="1" applyBorder="1" applyAlignment="1">
      <alignment vertical="center" wrapText="1"/>
    </xf>
    <xf numFmtId="0" fontId="49" fillId="4" borderId="37" xfId="2" applyNumberFormat="1" applyFont="1" applyFill="1" applyBorder="1" applyAlignment="1">
      <alignment vertical="center" wrapText="1"/>
    </xf>
    <xf numFmtId="0" fontId="1" fillId="3" borderId="0" xfId="2" applyNumberFormat="1" applyFont="1" applyFill="1" applyBorder="1" applyAlignment="1">
      <alignment horizontal="right"/>
    </xf>
    <xf numFmtId="0" fontId="0" fillId="3" borderId="4" xfId="2" applyNumberFormat="1" applyFont="1" applyFill="1" applyBorder="1" applyAlignment="1">
      <alignment vertical="center" wrapText="1"/>
    </xf>
    <xf numFmtId="164" fontId="49" fillId="4" borderId="63" xfId="2" applyNumberFormat="1" applyFont="1" applyFill="1" applyBorder="1" applyAlignment="1">
      <alignment horizontal="center" vertical="center" wrapText="1"/>
    </xf>
    <xf numFmtId="0" fontId="49" fillId="4" borderId="20" xfId="2" applyNumberFormat="1" applyFont="1" applyFill="1" applyBorder="1" applyAlignment="1">
      <alignment horizontal="center" vertical="center" wrapText="1"/>
    </xf>
    <xf numFmtId="0" fontId="45" fillId="3" borderId="0" xfId="2" applyNumberFormat="1" applyFont="1" applyFill="1" applyBorder="1" applyAlignment="1"/>
    <xf numFmtId="0" fontId="72" fillId="2" borderId="0" xfId="2" applyNumberFormat="1" applyFont="1" applyFill="1" applyBorder="1" applyAlignment="1">
      <alignment horizontal="left" vertical="center"/>
    </xf>
    <xf numFmtId="0" fontId="27" fillId="3" borderId="71" xfId="2" applyNumberFormat="1" applyFont="1" applyFill="1" applyBorder="1" applyAlignment="1">
      <alignment horizontal="center" vertical="center" wrapText="1"/>
    </xf>
    <xf numFmtId="0" fontId="31" fillId="3" borderId="71" xfId="2" applyNumberFormat="1" applyFont="1" applyFill="1" applyBorder="1" applyAlignment="1">
      <alignment horizontal="center" vertical="center" wrapText="1"/>
    </xf>
    <xf numFmtId="0" fontId="1" fillId="2" borderId="73" xfId="2" applyNumberFormat="1" applyFont="1" applyFill="1" applyBorder="1" applyAlignment="1">
      <alignment horizontal="right"/>
    </xf>
    <xf numFmtId="0" fontId="1" fillId="2" borderId="32" xfId="2" applyNumberFormat="1" applyFont="1" applyFill="1" applyBorder="1" applyAlignment="1">
      <alignment horizontal="right"/>
    </xf>
    <xf numFmtId="2" fontId="29" fillId="4" borderId="35" xfId="2" applyNumberFormat="1" applyFont="1" applyFill="1" applyBorder="1" applyAlignment="1">
      <alignment horizontal="center"/>
    </xf>
    <xf numFmtId="0" fontId="61" fillId="3" borderId="0" xfId="2" applyNumberFormat="1" applyFont="1" applyFill="1" applyBorder="1" applyAlignment="1"/>
    <xf numFmtId="0" fontId="31" fillId="3" borderId="2" xfId="2" applyNumberFormat="1" applyFont="1" applyFill="1" applyBorder="1" applyAlignment="1"/>
    <xf numFmtId="0" fontId="0" fillId="3" borderId="2" xfId="2" applyNumberFormat="1" applyFont="1" applyFill="1" applyBorder="1" applyAlignment="1"/>
    <xf numFmtId="0" fontId="0" fillId="3" borderId="4" xfId="2" applyNumberFormat="1" applyFont="1" applyFill="1" applyBorder="1" applyAlignment="1"/>
    <xf numFmtId="0" fontId="49" fillId="2" borderId="0" xfId="2" applyNumberFormat="1" applyFont="1" applyFill="1" applyBorder="1" applyAlignment="1">
      <alignment horizontal="right"/>
    </xf>
    <xf numFmtId="0" fontId="9" fillId="7" borderId="11" xfId="2" applyNumberFormat="1" applyFont="1" applyFill="1" applyBorder="1" applyAlignment="1">
      <alignment horizontal="center"/>
    </xf>
    <xf numFmtId="0" fontId="44" fillId="7" borderId="5" xfId="2" applyNumberFormat="1" applyFont="1" applyFill="1" applyBorder="1" applyAlignment="1">
      <alignment horizontal="center"/>
    </xf>
    <xf numFmtId="0" fontId="9" fillId="7" borderId="63" xfId="2" applyNumberFormat="1" applyFont="1" applyFill="1" applyBorder="1" applyAlignment="1">
      <alignment horizontal="center"/>
    </xf>
    <xf numFmtId="0" fontId="49" fillId="2" borderId="0" xfId="2" applyNumberFormat="1" applyFont="1" applyFill="1" applyBorder="1" applyAlignment="1">
      <alignment horizontal="left"/>
    </xf>
    <xf numFmtId="0" fontId="0" fillId="3" borderId="6" xfId="2" applyNumberFormat="1" applyFont="1" applyFill="1" applyBorder="1" applyAlignment="1"/>
    <xf numFmtId="0" fontId="0" fillId="3" borderId="7" xfId="2" applyNumberFormat="1" applyFont="1" applyFill="1" applyBorder="1" applyAlignment="1"/>
    <xf numFmtId="0" fontId="29" fillId="2" borderId="0" xfId="2" applyNumberFormat="1" applyFont="1" applyFill="1" applyBorder="1" applyAlignment="1">
      <alignment horizontal="left" vertical="top"/>
    </xf>
    <xf numFmtId="0" fontId="49" fillId="2" borderId="20" xfId="2" applyNumberFormat="1" applyFont="1" applyFill="1" applyBorder="1" applyAlignment="1">
      <alignment horizontal="center"/>
    </xf>
    <xf numFmtId="0" fontId="49" fillId="2" borderId="13" xfId="2" applyNumberFormat="1" applyFont="1" applyFill="1" applyBorder="1" applyAlignment="1">
      <alignment horizontal="center" vertical="top"/>
    </xf>
    <xf numFmtId="0" fontId="24" fillId="2" borderId="14" xfId="2" applyNumberFormat="1" applyFont="1" applyFill="1" applyBorder="1" applyAlignment="1">
      <alignment horizontal="center"/>
    </xf>
    <xf numFmtId="0" fontId="29" fillId="2" borderId="0" xfId="2" applyNumberFormat="1" applyFont="1" applyFill="1" applyBorder="1" applyAlignment="1">
      <alignment horizontal="left"/>
    </xf>
    <xf numFmtId="0" fontId="24" fillId="2" borderId="0" xfId="2" applyNumberFormat="1" applyFont="1" applyFill="1" applyBorder="1" applyAlignment="1">
      <alignment horizontal="right"/>
    </xf>
    <xf numFmtId="0" fontId="24" fillId="2" borderId="6" xfId="2" applyNumberFormat="1" applyFont="1" applyFill="1" applyBorder="1" applyAlignment="1">
      <alignment horizontal="center"/>
    </xf>
    <xf numFmtId="0" fontId="24" fillId="2" borderId="0" xfId="2" applyNumberFormat="1" applyFont="1" applyFill="1" applyBorder="1" applyAlignment="1"/>
    <xf numFmtId="0" fontId="24" fillId="2" borderId="7" xfId="2" applyNumberFormat="1" applyFont="1" applyFill="1" applyBorder="1" applyAlignment="1"/>
    <xf numFmtId="164" fontId="49" fillId="4" borderId="20" xfId="2" applyNumberFormat="1" applyFont="1" applyFill="1" applyBorder="1" applyAlignment="1">
      <alignment horizontal="center"/>
    </xf>
    <xf numFmtId="164" fontId="49" fillId="4" borderId="13" xfId="2" applyNumberFormat="1" applyFont="1" applyFill="1" applyBorder="1" applyAlignment="1">
      <alignment horizontal="center"/>
    </xf>
    <xf numFmtId="164" fontId="49" fillId="4" borderId="14" xfId="2" applyNumberFormat="1" applyFont="1" applyFill="1" applyBorder="1" applyAlignment="1">
      <alignment horizontal="center"/>
    </xf>
    <xf numFmtId="0" fontId="37" fillId="2" borderId="0" xfId="2" applyNumberFormat="1" applyFont="1" applyFill="1" applyBorder="1" applyAlignment="1">
      <alignment horizontal="right"/>
    </xf>
    <xf numFmtId="164" fontId="37" fillId="4" borderId="42" xfId="2" applyNumberFormat="1" applyFont="1" applyFill="1" applyBorder="1" applyAlignment="1">
      <alignment horizontal="center"/>
    </xf>
    <xf numFmtId="164" fontId="37" fillId="4" borderId="13" xfId="2" applyNumberFormat="1" applyFont="1" applyFill="1" applyBorder="1" applyAlignment="1">
      <alignment horizontal="center"/>
    </xf>
    <xf numFmtId="164" fontId="37" fillId="4" borderId="68" xfId="2" applyNumberFormat="1" applyFont="1" applyFill="1" applyBorder="1" applyAlignment="1">
      <alignment horizontal="center"/>
    </xf>
    <xf numFmtId="164" fontId="49" fillId="4" borderId="77" xfId="2" applyNumberFormat="1" applyFont="1" applyFill="1" applyBorder="1" applyAlignment="1">
      <alignment horizontal="center"/>
    </xf>
    <xf numFmtId="164" fontId="49" fillId="4" borderId="64" xfId="2" applyNumberFormat="1" applyFont="1" applyFill="1" applyBorder="1" applyAlignment="1">
      <alignment horizontal="center"/>
    </xf>
    <xf numFmtId="0" fontId="91" fillId="3" borderId="6" xfId="2" applyNumberFormat="1" applyFont="1" applyFill="1" applyBorder="1" applyAlignment="1"/>
    <xf numFmtId="0" fontId="91" fillId="3" borderId="0" xfId="2" applyNumberFormat="1" applyFont="1" applyFill="1" applyBorder="1" applyAlignment="1"/>
    <xf numFmtId="0" fontId="91" fillId="3" borderId="7" xfId="2" applyNumberFormat="1" applyFont="1" applyFill="1" applyBorder="1" applyAlignment="1"/>
    <xf numFmtId="1" fontId="49" fillId="4" borderId="43" xfId="2" applyNumberFormat="1" applyFont="1" applyFill="1" applyBorder="1" applyAlignment="1">
      <alignment horizontal="center"/>
    </xf>
    <xf numFmtId="1" fontId="49" fillId="4" borderId="8" xfId="2" applyNumberFormat="1" applyFont="1" applyFill="1" applyBorder="1" applyAlignment="1">
      <alignment horizontal="center"/>
    </xf>
    <xf numFmtId="1" fontId="49" fillId="4" borderId="69" xfId="2" applyNumberFormat="1" applyFont="1" applyFill="1" applyBorder="1" applyAlignment="1">
      <alignment horizontal="center"/>
    </xf>
    <xf numFmtId="0" fontId="29" fillId="2" borderId="2" xfId="2" applyNumberFormat="1" applyFont="1" applyFill="1" applyBorder="1" applyAlignment="1">
      <alignment horizontal="left" vertical="top"/>
    </xf>
    <xf numFmtId="0" fontId="22" fillId="2" borderId="0" xfId="2" applyNumberFormat="1" applyFont="1" applyFill="1" applyBorder="1" applyAlignment="1">
      <alignment horizontal="left" vertical="top"/>
    </xf>
    <xf numFmtId="0" fontId="29" fillId="2" borderId="0" xfId="2" applyNumberFormat="1" applyFont="1" applyFill="1" applyBorder="1" applyAlignment="1">
      <alignment horizontal="right"/>
    </xf>
    <xf numFmtId="0" fontId="24" fillId="3" borderId="0" xfId="2" applyNumberFormat="1" applyFont="1" applyFill="1" applyBorder="1" applyAlignment="1">
      <alignment horizontal="right"/>
    </xf>
    <xf numFmtId="0" fontId="22" fillId="2" borderId="0" xfId="2" applyNumberFormat="1" applyFont="1" applyFill="1" applyBorder="1" applyAlignment="1"/>
    <xf numFmtId="0" fontId="0" fillId="2" borderId="0" xfId="2" applyNumberFormat="1" applyFont="1" applyFill="1" applyBorder="1" applyAlignment="1">
      <alignment horizontal="right"/>
    </xf>
    <xf numFmtId="0" fontId="27" fillId="2" borderId="0" xfId="2" applyNumberFormat="1" applyFont="1" applyFill="1" applyBorder="1" applyAlignment="1">
      <alignment horizontal="right"/>
    </xf>
    <xf numFmtId="0" fontId="0" fillId="0" borderId="13" xfId="2" applyNumberFormat="1" applyFont="1" applyFill="1" applyBorder="1" applyAlignment="1">
      <alignment horizontal="left"/>
    </xf>
    <xf numFmtId="0" fontId="31" fillId="3" borderId="0" xfId="2" applyNumberFormat="1" applyFont="1" applyFill="1" applyBorder="1" applyAlignment="1">
      <alignment vertical="center"/>
    </xf>
    <xf numFmtId="0" fontId="29" fillId="3" borderId="0" xfId="2" applyNumberFormat="1" applyFont="1" applyFill="1" applyBorder="1" applyAlignment="1">
      <alignment vertical="center" wrapText="1"/>
    </xf>
    <xf numFmtId="0" fontId="0" fillId="3" borderId="0" xfId="2" applyNumberFormat="1" applyFont="1" applyFill="1" applyBorder="1" applyAlignment="1">
      <alignment wrapText="1"/>
    </xf>
    <xf numFmtId="0" fontId="29" fillId="3" borderId="16" xfId="2" applyNumberFormat="1" applyFont="1" applyFill="1" applyBorder="1" applyAlignment="1">
      <alignment vertical="center" wrapText="1"/>
    </xf>
    <xf numFmtId="0" fontId="45" fillId="3" borderId="6" xfId="2" applyNumberFormat="1" applyFont="1" applyFill="1" applyBorder="1" applyAlignment="1">
      <alignment vertical="center"/>
    </xf>
    <xf numFmtId="0" fontId="27" fillId="3" borderId="0" xfId="2" applyNumberFormat="1" applyFont="1" applyFill="1" applyBorder="1" applyAlignment="1">
      <alignment horizontal="right"/>
    </xf>
    <xf numFmtId="0" fontId="29" fillId="3" borderId="16" xfId="2" applyNumberFormat="1" applyFont="1" applyFill="1" applyBorder="1" applyAlignment="1"/>
    <xf numFmtId="0" fontId="49" fillId="3" borderId="0" xfId="2" applyNumberFormat="1" applyFont="1" applyFill="1" applyBorder="1" applyAlignment="1"/>
    <xf numFmtId="0" fontId="49" fillId="3" borderId="0" xfId="2" applyNumberFormat="1" applyFont="1" applyFill="1" applyBorder="1" applyAlignment="1">
      <alignment horizontal="right"/>
    </xf>
    <xf numFmtId="0" fontId="34" fillId="3" borderId="0" xfId="2" applyNumberFormat="1" applyFont="1" applyFill="1" applyBorder="1" applyAlignment="1"/>
    <xf numFmtId="0" fontId="29" fillId="3" borderId="32" xfId="2" applyNumberFormat="1" applyFont="1" applyFill="1" applyBorder="1" applyAlignment="1">
      <alignment vertical="center" wrapText="1"/>
    </xf>
    <xf numFmtId="0" fontId="29" fillId="3" borderId="0" xfId="2" applyNumberFormat="1" applyFont="1" applyFill="1" applyBorder="1" applyAlignment="1"/>
    <xf numFmtId="0" fontId="23" fillId="3" borderId="0" xfId="2" applyNumberFormat="1" applyFont="1" applyFill="1" applyBorder="1" applyAlignment="1"/>
    <xf numFmtId="0" fontId="6" fillId="3" borderId="0" xfId="2" applyNumberFormat="1" applyFont="1" applyFill="1" applyBorder="1" applyAlignment="1"/>
    <xf numFmtId="0" fontId="36" fillId="3" borderId="0" xfId="2" applyNumberFormat="1" applyFont="1" applyFill="1" applyBorder="1" applyAlignment="1">
      <alignment vertical="center"/>
    </xf>
    <xf numFmtId="0" fontId="16" fillId="3" borderId="0" xfId="2" applyNumberFormat="1" applyFont="1" applyFill="1" applyBorder="1" applyAlignment="1">
      <alignment horizontal="right"/>
    </xf>
    <xf numFmtId="0" fontId="0" fillId="3" borderId="0" xfId="2" applyNumberFormat="1" applyFont="1" applyFill="1" applyBorder="1" applyAlignment="1">
      <alignment vertical="center"/>
    </xf>
    <xf numFmtId="0" fontId="29" fillId="3" borderId="0" xfId="2" applyNumberFormat="1" applyFont="1" applyFill="1" applyBorder="1" applyAlignment="1">
      <alignment horizontal="right"/>
    </xf>
    <xf numFmtId="0" fontId="41" fillId="3" borderId="0" xfId="2" applyNumberFormat="1" applyFont="1" applyFill="1" applyBorder="1" applyAlignment="1">
      <alignment horizontal="left"/>
    </xf>
    <xf numFmtId="0" fontId="22" fillId="3" borderId="0" xfId="2" applyNumberFormat="1" applyFont="1" applyFill="1" applyBorder="1" applyAlignment="1">
      <alignment vertical="center"/>
    </xf>
    <xf numFmtId="0" fontId="29" fillId="3" borderId="16" xfId="2" applyNumberFormat="1" applyFont="1" applyFill="1" applyBorder="1" applyAlignment="1">
      <alignment horizontal="right"/>
    </xf>
    <xf numFmtId="164" fontId="29" fillId="4" borderId="16" xfId="2" applyNumberFormat="1" applyFont="1" applyFill="1" applyBorder="1" applyAlignment="1">
      <alignment horizontal="center"/>
    </xf>
    <xf numFmtId="0" fontId="29" fillId="4" borderId="16" xfId="2" applyNumberFormat="1" applyFont="1" applyFill="1" applyBorder="1" applyAlignment="1">
      <alignment horizontal="center"/>
    </xf>
    <xf numFmtId="0" fontId="29" fillId="3" borderId="23" xfId="2" applyNumberFormat="1" applyFont="1" applyFill="1" applyBorder="1" applyAlignment="1">
      <alignment vertical="center" wrapText="1"/>
    </xf>
    <xf numFmtId="0" fontId="29" fillId="3" borderId="0" xfId="2" applyNumberFormat="1" applyFont="1" applyFill="1" applyBorder="1" applyAlignment="1">
      <alignment horizontal="left"/>
    </xf>
    <xf numFmtId="0" fontId="52" fillId="10" borderId="33" xfId="2" applyNumberFormat="1" applyFont="1" applyFill="1" applyBorder="1" applyAlignment="1">
      <alignment vertical="center"/>
    </xf>
    <xf numFmtId="0" fontId="52" fillId="10" borderId="52" xfId="2" applyNumberFormat="1" applyFont="1" applyFill="1" applyBorder="1" applyAlignment="1">
      <alignment vertical="center"/>
    </xf>
    <xf numFmtId="0" fontId="52" fillId="10" borderId="37" xfId="2" applyNumberFormat="1" applyFont="1" applyFill="1" applyBorder="1" applyAlignment="1">
      <alignment vertical="center"/>
    </xf>
    <xf numFmtId="0" fontId="26" fillId="3" borderId="0" xfId="2" applyNumberFormat="1" applyFont="1" applyFill="1" applyBorder="1" applyAlignment="1"/>
    <xf numFmtId="0" fontId="22" fillId="3" borderId="0" xfId="2" applyNumberFormat="1" applyFont="1" applyFill="1" applyBorder="1" applyAlignment="1"/>
    <xf numFmtId="0" fontId="27" fillId="3" borderId="0" xfId="2" applyNumberFormat="1" applyFont="1" applyFill="1" applyBorder="1" applyAlignment="1">
      <alignment vertical="center" wrapText="1"/>
    </xf>
    <xf numFmtId="0" fontId="26" fillId="3" borderId="57" xfId="2" applyNumberFormat="1" applyFont="1" applyFill="1" applyBorder="1" applyAlignment="1">
      <alignment horizontal="right"/>
    </xf>
    <xf numFmtId="0" fontId="52" fillId="10" borderId="52" xfId="2" applyNumberFormat="1" applyFont="1" applyFill="1" applyBorder="1" applyAlignment="1">
      <alignment horizontal="left" vertical="center" wrapText="1" indent="4"/>
    </xf>
    <xf numFmtId="0" fontId="52" fillId="10" borderId="37" xfId="2" applyNumberFormat="1" applyFont="1" applyFill="1" applyBorder="1" applyAlignment="1">
      <alignment horizontal="left" vertical="center" wrapText="1" indent="4"/>
    </xf>
    <xf numFmtId="0" fontId="29" fillId="3" borderId="33" xfId="2" applyNumberFormat="1" applyFont="1" applyFill="1" applyBorder="1" applyAlignment="1">
      <alignment vertical="center"/>
    </xf>
    <xf numFmtId="0" fontId="29" fillId="3" borderId="52" xfId="2" applyNumberFormat="1" applyFont="1" applyFill="1" applyBorder="1" applyAlignment="1">
      <alignment vertical="center" wrapText="1"/>
    </xf>
    <xf numFmtId="0" fontId="76" fillId="3" borderId="0" xfId="2" applyNumberFormat="1" applyFont="1" applyFill="1" applyBorder="1" applyAlignment="1">
      <alignment vertical="center"/>
    </xf>
    <xf numFmtId="3" fontId="27" fillId="4" borderId="34" xfId="2" applyNumberFormat="1" applyFont="1" applyFill="1" applyBorder="1" applyAlignment="1"/>
    <xf numFmtId="0" fontId="45" fillId="3" borderId="0" xfId="2" applyNumberFormat="1" applyFont="1" applyFill="1" applyBorder="1" applyAlignment="1">
      <alignment vertical="center"/>
    </xf>
    <xf numFmtId="1" fontId="27" fillId="4" borderId="13" xfId="2" applyNumberFormat="1" applyFont="1" applyFill="1" applyBorder="1" applyAlignment="1"/>
    <xf numFmtId="3" fontId="27" fillId="4" borderId="13" xfId="2" applyNumberFormat="1" applyFont="1" applyFill="1" applyBorder="1" applyAlignment="1"/>
    <xf numFmtId="0" fontId="63" fillId="3" borderId="0" xfId="2" applyNumberFormat="1" applyFont="1" applyFill="1" applyBorder="1" applyAlignment="1">
      <alignment vertical="center"/>
    </xf>
    <xf numFmtId="0" fontId="52" fillId="3" borderId="0" xfId="2" applyNumberFormat="1" applyFont="1" applyFill="1" applyBorder="1" applyAlignment="1">
      <alignment vertical="center"/>
    </xf>
    <xf numFmtId="0" fontId="37" fillId="3" borderId="48" xfId="2" applyNumberFormat="1" applyFont="1" applyFill="1" applyBorder="1" applyAlignment="1">
      <alignment horizontal="right" vertical="center"/>
    </xf>
    <xf numFmtId="0" fontId="37" fillId="3" borderId="0" xfId="2" applyNumberFormat="1" applyFont="1" applyFill="1" applyBorder="1" applyAlignment="1">
      <alignment vertical="center"/>
    </xf>
    <xf numFmtId="0" fontId="27" fillId="3" borderId="0" xfId="2" applyNumberFormat="1" applyFont="1" applyFill="1" applyBorder="1" applyAlignment="1">
      <alignment horizontal="right" vertical="top" wrapText="1"/>
    </xf>
    <xf numFmtId="0" fontId="29" fillId="3" borderId="0" xfId="2" applyNumberFormat="1" applyFont="1" applyFill="1" applyBorder="1" applyAlignment="1">
      <alignment horizontal="right" vertical="top" wrapText="1"/>
    </xf>
    <xf numFmtId="0" fontId="29" fillId="4" borderId="13" xfId="2" applyNumberFormat="1" applyFont="1" applyFill="1" applyBorder="1" applyAlignment="1">
      <alignment horizontal="center"/>
    </xf>
    <xf numFmtId="0" fontId="29" fillId="3" borderId="0" xfId="2" applyNumberFormat="1" applyFont="1" applyFill="1" applyBorder="1" applyAlignment="1">
      <alignment vertical="center"/>
    </xf>
    <xf numFmtId="164" fontId="29" fillId="4" borderId="13" xfId="2" applyNumberFormat="1" applyFont="1" applyFill="1" applyBorder="1" applyAlignment="1">
      <alignment horizontal="center"/>
    </xf>
    <xf numFmtId="164" fontId="29" fillId="4" borderId="13" xfId="2" applyNumberFormat="1" applyFont="1" applyFill="1" applyBorder="1" applyAlignment="1"/>
    <xf numFmtId="0" fontId="44" fillId="3" borderId="0" xfId="2" applyNumberFormat="1" applyFont="1" applyFill="1" applyBorder="1" applyAlignment="1"/>
    <xf numFmtId="1" fontId="29" fillId="4" borderId="13" xfId="2" applyNumberFormat="1" applyFont="1" applyFill="1" applyBorder="1" applyAlignment="1"/>
    <xf numFmtId="0" fontId="29" fillId="3" borderId="0" xfId="2" applyNumberFormat="1" applyFont="1" applyFill="1" applyBorder="1" applyAlignment="1">
      <alignment horizontal="right" vertical="top"/>
    </xf>
    <xf numFmtId="2" fontId="29" fillId="4" borderId="45" xfId="2" applyNumberFormat="1" applyFont="1" applyFill="1" applyBorder="1" applyAlignment="1"/>
    <xf numFmtId="0" fontId="73" fillId="3" borderId="0" xfId="2" applyNumberFormat="1" applyFont="1" applyFill="1" applyBorder="1" applyAlignment="1"/>
    <xf numFmtId="0" fontId="49" fillId="3" borderId="28" xfId="2" applyNumberFormat="1" applyFont="1" applyFill="1" applyBorder="1" applyAlignment="1">
      <alignment horizontal="right"/>
    </xf>
    <xf numFmtId="1" fontId="49" fillId="4" borderId="13" xfId="2" applyNumberFormat="1" applyFont="1" applyFill="1" applyBorder="1" applyAlignment="1">
      <alignment horizontal="center"/>
    </xf>
    <xf numFmtId="0" fontId="49" fillId="3" borderId="0" xfId="2" applyNumberFormat="1" applyFont="1" applyFill="1" applyBorder="1" applyAlignment="1">
      <alignment vertical="top"/>
    </xf>
    <xf numFmtId="1" fontId="29" fillId="4" borderId="13" xfId="2" applyNumberFormat="1" applyFont="1" applyFill="1" applyBorder="1" applyAlignment="1">
      <alignment horizontal="center" vertical="center"/>
    </xf>
    <xf numFmtId="0" fontId="58" fillId="3" borderId="0" xfId="2" applyNumberFormat="1" applyFont="1" applyFill="1" applyBorder="1" applyAlignment="1">
      <alignment horizontal="right"/>
    </xf>
    <xf numFmtId="0" fontId="49" fillId="3" borderId="29" xfId="2" applyNumberFormat="1" applyFont="1" applyFill="1" applyBorder="1" applyAlignment="1">
      <alignment horizontal="right"/>
    </xf>
    <xf numFmtId="2" fontId="29" fillId="4" borderId="13" xfId="2" applyNumberFormat="1" applyFont="1" applyFill="1" applyBorder="1" applyAlignment="1">
      <alignment horizontal="center"/>
    </xf>
    <xf numFmtId="0" fontId="4" fillId="3" borderId="0" xfId="2" applyNumberFormat="1" applyFont="1" applyFill="1" applyBorder="1" applyAlignment="1"/>
    <xf numFmtId="0" fontId="10" fillId="3" borderId="0" xfId="2" applyNumberFormat="1" applyFont="1" applyFill="1" applyBorder="1" applyAlignment="1"/>
    <xf numFmtId="0" fontId="26" fillId="3" borderId="16" xfId="2" applyNumberFormat="1" applyFont="1" applyFill="1" applyBorder="1" applyAlignment="1">
      <alignment wrapText="1"/>
    </xf>
    <xf numFmtId="0" fontId="49" fillId="3" borderId="16" xfId="2" applyNumberFormat="1" applyFont="1" applyFill="1" applyBorder="1" applyAlignment="1">
      <alignment horizontal="center" wrapText="1"/>
    </xf>
    <xf numFmtId="0" fontId="29" fillId="3" borderId="16" xfId="2" applyNumberFormat="1" applyFont="1" applyFill="1" applyBorder="1" applyAlignment="1">
      <alignment horizontal="center" wrapText="1"/>
    </xf>
    <xf numFmtId="0" fontId="79" fillId="3" borderId="73" xfId="2" applyNumberFormat="1" applyFont="1" applyFill="1" applyBorder="1" applyAlignment="1">
      <alignment horizontal="right"/>
    </xf>
    <xf numFmtId="0" fontId="79" fillId="3" borderId="30" xfId="2" applyNumberFormat="1" applyFont="1" applyFill="1" applyBorder="1" applyAlignment="1">
      <alignment horizontal="center"/>
    </xf>
    <xf numFmtId="0" fontId="79" fillId="3" borderId="0" xfId="2" applyNumberFormat="1" applyFont="1" applyFill="1" applyBorder="1" applyAlignment="1">
      <alignment horizontal="center"/>
    </xf>
    <xf numFmtId="165" fontId="79" fillId="9" borderId="30" xfId="2" applyNumberFormat="1" applyFont="1" applyFill="1" applyBorder="1" applyAlignment="1">
      <alignment horizontal="center"/>
    </xf>
    <xf numFmtId="165" fontId="79" fillId="3" borderId="0" xfId="2" applyNumberFormat="1" applyFont="1" applyFill="1" applyBorder="1" applyAlignment="1">
      <alignment horizontal="center"/>
    </xf>
    <xf numFmtId="165" fontId="79" fillId="3" borderId="24" xfId="2" applyNumberFormat="1" applyFont="1" applyFill="1" applyBorder="1" applyAlignment="1">
      <alignment horizontal="center"/>
    </xf>
    <xf numFmtId="0" fontId="82" fillId="3" borderId="73" xfId="2" applyNumberFormat="1" applyFont="1" applyFill="1" applyBorder="1" applyAlignment="1">
      <alignment horizontal="right"/>
    </xf>
    <xf numFmtId="0" fontId="82" fillId="3" borderId="6" xfId="2" applyNumberFormat="1" applyFont="1" applyFill="1" applyBorder="1" applyAlignment="1">
      <alignment horizontal="center"/>
    </xf>
    <xf numFmtId="0" fontId="82" fillId="3" borderId="0" xfId="2" applyNumberFormat="1" applyFont="1" applyFill="1" applyBorder="1" applyAlignment="1">
      <alignment horizontal="center"/>
    </xf>
    <xf numFmtId="165" fontId="82" fillId="9" borderId="6" xfId="2" applyNumberFormat="1" applyFont="1" applyFill="1" applyBorder="1" applyAlignment="1">
      <alignment horizontal="center"/>
    </xf>
    <xf numFmtId="165" fontId="82" fillId="3" borderId="0" xfId="2" applyNumberFormat="1" applyFont="1" applyFill="1" applyBorder="1" applyAlignment="1">
      <alignment horizontal="center"/>
    </xf>
    <xf numFmtId="165" fontId="82" fillId="3" borderId="7" xfId="2" applyNumberFormat="1" applyFont="1" applyFill="1" applyBorder="1" applyAlignment="1">
      <alignment horizontal="center"/>
    </xf>
    <xf numFmtId="0" fontId="79" fillId="3" borderId="0" xfId="2" applyNumberFormat="1" applyFont="1" applyFill="1" applyBorder="1" applyAlignment="1">
      <alignment horizontal="center" vertical="top"/>
    </xf>
    <xf numFmtId="165" fontId="79" fillId="3" borderId="6" xfId="2" applyNumberFormat="1" applyFont="1" applyFill="1" applyBorder="1" applyAlignment="1">
      <alignment horizontal="center"/>
    </xf>
    <xf numFmtId="165" fontId="49" fillId="3" borderId="0" xfId="2" applyNumberFormat="1" applyFont="1" applyFill="1" applyBorder="1" applyAlignment="1">
      <alignment horizontal="center"/>
    </xf>
    <xf numFmtId="165" fontId="49" fillId="3" borderId="7" xfId="2" applyNumberFormat="1" applyFont="1" applyFill="1" applyBorder="1" applyAlignment="1">
      <alignment horizontal="center"/>
    </xf>
    <xf numFmtId="0" fontId="82" fillId="3" borderId="0" xfId="2" applyNumberFormat="1" applyFont="1" applyFill="1" applyBorder="1" applyAlignment="1">
      <alignment horizontal="center" vertical="top"/>
    </xf>
    <xf numFmtId="0" fontId="79" fillId="3" borderId="6" xfId="2" applyNumberFormat="1" applyFont="1" applyFill="1" applyBorder="1" applyAlignment="1">
      <alignment horizontal="center" vertical="top"/>
    </xf>
    <xf numFmtId="165" fontId="79" fillId="9" borderId="6" xfId="2" applyNumberFormat="1" applyFont="1" applyFill="1" applyBorder="1" applyAlignment="1"/>
    <xf numFmtId="165" fontId="79" fillId="9" borderId="0" xfId="2" applyNumberFormat="1" applyFont="1" applyFill="1" applyBorder="1" applyAlignment="1"/>
    <xf numFmtId="165" fontId="79" fillId="9" borderId="7" xfId="2" applyNumberFormat="1" applyFont="1" applyFill="1" applyBorder="1" applyAlignment="1"/>
    <xf numFmtId="0" fontId="82" fillId="3" borderId="32" xfId="2" applyNumberFormat="1" applyFont="1" applyFill="1" applyBorder="1" applyAlignment="1">
      <alignment horizontal="right"/>
    </xf>
    <xf numFmtId="0" fontId="82" fillId="3" borderId="1" xfId="2" applyNumberFormat="1" applyFont="1" applyFill="1" applyBorder="1" applyAlignment="1">
      <alignment horizontal="center" vertical="top"/>
    </xf>
    <xf numFmtId="0" fontId="82" fillId="3" borderId="2" xfId="2" applyNumberFormat="1" applyFont="1" applyFill="1" applyBorder="1" applyAlignment="1">
      <alignment horizontal="center" vertical="top"/>
    </xf>
    <xf numFmtId="165" fontId="29" fillId="9" borderId="1" xfId="2" applyNumberFormat="1" applyFont="1" applyFill="1" applyBorder="1" applyAlignment="1"/>
    <xf numFmtId="165" fontId="29" fillId="9" borderId="2" xfId="2" applyNumberFormat="1" applyFont="1" applyFill="1" applyBorder="1" applyAlignment="1"/>
    <xf numFmtId="165" fontId="29" fillId="9" borderId="4" xfId="2" applyNumberFormat="1" applyFont="1" applyFill="1" applyBorder="1" applyAlignment="1"/>
    <xf numFmtId="0" fontId="6" fillId="3" borderId="0" xfId="2" applyNumberFormat="1" applyFont="1" applyFill="1" applyBorder="1" applyAlignment="1">
      <alignment horizontal="center" vertical="top"/>
    </xf>
    <xf numFmtId="0" fontId="30" fillId="3" borderId="0" xfId="2" applyNumberFormat="1" applyFont="1" applyFill="1" applyBorder="1" applyAlignment="1"/>
    <xf numFmtId="0" fontId="10" fillId="3" borderId="0" xfId="2" applyNumberFormat="1" applyFont="1" applyFill="1" applyBorder="1" applyAlignment="1">
      <alignment horizontal="center"/>
    </xf>
    <xf numFmtId="1" fontId="6" fillId="3" borderId="0" xfId="2" applyNumberFormat="1" applyFont="1" applyFill="1" applyBorder="1" applyAlignment="1">
      <alignment horizontal="center"/>
    </xf>
    <xf numFmtId="164" fontId="6" fillId="3" borderId="0" xfId="2" applyNumberFormat="1" applyFont="1" applyFill="1" applyBorder="1" applyAlignment="1">
      <alignment horizontal="center"/>
    </xf>
    <xf numFmtId="0" fontId="49" fillId="0" borderId="4" xfId="4" applyNumberFormat="1" applyFont="1" applyFill="1" applyBorder="1" applyAlignment="1">
      <alignment horizontal="center" wrapText="1"/>
      <protection locked="0"/>
    </xf>
    <xf numFmtId="0" fontId="0" fillId="5" borderId="37" xfId="4" applyNumberFormat="1" applyFont="1" applyFill="1" applyBorder="1" applyAlignment="1">
      <alignment horizontal="center"/>
      <protection locked="0"/>
    </xf>
    <xf numFmtId="0" fontId="29" fillId="0" borderId="4" xfId="4" applyNumberFormat="1" applyFont="1" applyFill="1" applyBorder="1" applyAlignment="1">
      <alignment horizontal="center" vertical="center" wrapText="1"/>
      <protection locked="0"/>
    </xf>
    <xf numFmtId="0" fontId="29" fillId="0" borderId="37" xfId="4" applyNumberFormat="1" applyFont="1" applyFill="1" applyBorder="1" applyAlignment="1">
      <alignment horizontal="center" vertical="center" wrapText="1"/>
      <protection locked="0"/>
    </xf>
    <xf numFmtId="0" fontId="29" fillId="0" borderId="16" xfId="4" applyNumberFormat="1" applyFont="1" applyFill="1" applyBorder="1" applyAlignment="1">
      <alignment horizontal="center" vertical="center" wrapText="1"/>
      <protection locked="0"/>
    </xf>
    <xf numFmtId="0" fontId="49" fillId="5" borderId="13" xfId="4" applyNumberFormat="1" applyFont="1" applyFill="1" applyBorder="1" applyAlignment="1">
      <protection locked="0"/>
    </xf>
    <xf numFmtId="0" fontId="29" fillId="0" borderId="13" xfId="4" applyNumberFormat="1" applyFont="1" applyFill="1" applyBorder="1" applyAlignment="1">
      <alignment horizontal="center"/>
      <protection locked="0"/>
    </xf>
    <xf numFmtId="1" fontId="49" fillId="5" borderId="13" xfId="4" applyNumberFormat="1" applyFont="1" applyFill="1" applyBorder="1" applyAlignment="1">
      <protection locked="0"/>
    </xf>
    <xf numFmtId="1" fontId="49" fillId="5" borderId="8" xfId="4" applyNumberFormat="1" applyFont="1" applyFill="1" applyBorder="1" applyAlignment="1">
      <protection locked="0"/>
    </xf>
    <xf numFmtId="0" fontId="29" fillId="0" borderId="5" xfId="4" applyNumberFormat="1" applyFont="1" applyFill="1" applyBorder="1" applyAlignment="1">
      <alignment horizontal="center" vertical="top" wrapText="1"/>
      <protection locked="0"/>
    </xf>
    <xf numFmtId="0" fontId="29" fillId="0" borderId="13" xfId="4" applyNumberFormat="1" applyFont="1" applyFill="1" applyBorder="1" applyAlignment="1">
      <alignment horizontal="center" vertical="top" wrapText="1"/>
      <protection locked="0"/>
    </xf>
    <xf numFmtId="0" fontId="29" fillId="0" borderId="13" xfId="4" applyNumberFormat="1" applyFont="1" applyFill="1" applyBorder="1" applyAlignment="1">
      <alignment horizontal="center" vertical="center" wrapText="1"/>
      <protection locked="0"/>
    </xf>
    <xf numFmtId="0" fontId="29" fillId="0" borderId="8" xfId="4" applyNumberFormat="1" applyFont="1" applyFill="1" applyBorder="1" applyAlignment="1">
      <alignment horizontal="center" vertical="center" wrapText="1"/>
      <protection locked="0"/>
    </xf>
    <xf numFmtId="0" fontId="29" fillId="5" borderId="35" xfId="4" applyNumberFormat="1" applyFont="1" applyFill="1" applyBorder="1" applyAlignment="1">
      <alignment horizontal="center"/>
      <protection locked="0"/>
    </xf>
    <xf numFmtId="0" fontId="29" fillId="5" borderId="16" xfId="4" applyNumberFormat="1" applyFont="1" applyFill="1" applyBorder="1" applyAlignment="1">
      <alignment horizontal="center"/>
      <protection locked="0"/>
    </xf>
    <xf numFmtId="0" fontId="29" fillId="5" borderId="13" xfId="4" applyNumberFormat="1" applyFont="1" applyFill="1" applyBorder="1" applyAlignment="1">
      <alignment horizontal="center"/>
      <protection locked="0"/>
    </xf>
    <xf numFmtId="1" fontId="29" fillId="0" borderId="13" xfId="4" applyNumberFormat="1" applyFont="1" applyFill="1" applyBorder="1" applyAlignment="1">
      <protection locked="0"/>
    </xf>
    <xf numFmtId="2" fontId="49" fillId="5" borderId="13" xfId="4" applyNumberFormat="1" applyFont="1" applyFill="1" applyBorder="1" applyAlignment="1">
      <alignment horizontal="right"/>
      <protection locked="0"/>
    </xf>
    <xf numFmtId="0" fontId="52" fillId="10" borderId="37" xfId="2" applyNumberFormat="1" applyFont="1" applyFill="1" applyBorder="1" applyAlignment="1">
      <alignment vertical="center" wrapText="1"/>
    </xf>
    <xf numFmtId="0" fontId="27" fillId="3" borderId="16" xfId="2" applyNumberFormat="1" applyFont="1" applyFill="1" applyBorder="1" applyAlignment="1">
      <alignment horizontal="center" vertical="center" wrapText="1"/>
    </xf>
    <xf numFmtId="0" fontId="0" fillId="3" borderId="16" xfId="2" applyNumberFormat="1" applyFont="1" applyFill="1" applyBorder="1" applyAlignment="1"/>
    <xf numFmtId="0" fontId="41" fillId="3" borderId="0" xfId="2" applyNumberFormat="1" applyFont="1" applyFill="1" applyBorder="1" applyAlignment="1">
      <alignment vertical="center"/>
    </xf>
    <xf numFmtId="0" fontId="27" fillId="3" borderId="30" xfId="2" applyNumberFormat="1" applyFont="1" applyFill="1" applyBorder="1" applyAlignment="1">
      <alignment vertical="center" wrapText="1"/>
    </xf>
    <xf numFmtId="0" fontId="27" fillId="3" borderId="24" xfId="2" applyNumberFormat="1" applyFont="1" applyFill="1" applyBorder="1" applyAlignment="1">
      <alignment vertical="center" wrapText="1"/>
    </xf>
    <xf numFmtId="0" fontId="0" fillId="3" borderId="32" xfId="2" applyNumberFormat="1" applyFont="1" applyFill="1" applyBorder="1" applyAlignment="1"/>
    <xf numFmtId="0" fontId="24" fillId="3" borderId="0" xfId="2" applyNumberFormat="1" applyFont="1" applyFill="1" applyBorder="1" applyAlignment="1"/>
    <xf numFmtId="0" fontId="24" fillId="3" borderId="71" xfId="2" applyNumberFormat="1" applyFont="1" applyFill="1" applyBorder="1" applyAlignment="1"/>
    <xf numFmtId="0" fontId="27" fillId="3" borderId="71" xfId="2" applyNumberFormat="1" applyFont="1" applyFill="1" applyBorder="1" applyAlignment="1">
      <alignment horizontal="center" wrapText="1"/>
    </xf>
    <xf numFmtId="0" fontId="24" fillId="3" borderId="32" xfId="2" applyNumberFormat="1" applyFont="1" applyFill="1" applyBorder="1" applyAlignment="1"/>
    <xf numFmtId="0" fontId="27" fillId="3" borderId="73" xfId="2" applyNumberFormat="1" applyFont="1" applyFill="1" applyBorder="1" applyAlignment="1">
      <alignment horizontal="center"/>
    </xf>
    <xf numFmtId="0" fontId="29" fillId="11" borderId="25" xfId="2" applyNumberFormat="1" applyFont="1" applyFill="1" applyBorder="1" applyAlignment="1">
      <alignment horizontal="right"/>
    </xf>
    <xf numFmtId="0" fontId="29" fillId="11" borderId="42" xfId="2" applyNumberFormat="1" applyFont="1" applyFill="1" applyBorder="1" applyAlignment="1">
      <alignment horizontal="right"/>
    </xf>
    <xf numFmtId="0" fontId="29" fillId="11" borderId="43" xfId="2" applyNumberFormat="1" applyFont="1" applyFill="1" applyBorder="1" applyAlignment="1">
      <alignment horizontal="right"/>
    </xf>
    <xf numFmtId="0" fontId="29" fillId="12" borderId="25" xfId="2" applyNumberFormat="1" applyFont="1" applyFill="1" applyBorder="1" applyAlignment="1">
      <alignment horizontal="right"/>
    </xf>
    <xf numFmtId="0" fontId="29" fillId="12" borderId="42" xfId="2" applyNumberFormat="1" applyFont="1" applyFill="1" applyBorder="1" applyAlignment="1">
      <alignment horizontal="right"/>
    </xf>
    <xf numFmtId="0" fontId="29" fillId="12" borderId="43" xfId="2" applyNumberFormat="1" applyFont="1" applyFill="1" applyBorder="1" applyAlignment="1">
      <alignment horizontal="right"/>
    </xf>
    <xf numFmtId="0" fontId="29" fillId="13" borderId="25" xfId="2" applyNumberFormat="1" applyFont="1" applyFill="1" applyBorder="1" applyAlignment="1">
      <alignment horizontal="right"/>
    </xf>
    <xf numFmtId="0" fontId="29" fillId="13" borderId="42" xfId="2" applyNumberFormat="1" applyFont="1" applyFill="1" applyBorder="1" applyAlignment="1">
      <alignment horizontal="right"/>
    </xf>
    <xf numFmtId="0" fontId="29" fillId="13" borderId="43" xfId="2" applyNumberFormat="1" applyFont="1" applyFill="1" applyBorder="1" applyAlignment="1">
      <alignment horizontal="right"/>
    </xf>
    <xf numFmtId="0" fontId="29" fillId="14" borderId="39" xfId="2" applyNumberFormat="1" applyFont="1" applyFill="1" applyBorder="1" applyAlignment="1">
      <alignment horizontal="right"/>
    </xf>
    <xf numFmtId="0" fontId="29" fillId="14" borderId="41" xfId="2" applyNumberFormat="1" applyFont="1" applyFill="1" applyBorder="1" applyAlignment="1">
      <alignment horizontal="right"/>
    </xf>
    <xf numFmtId="0" fontId="29" fillId="14" borderId="38" xfId="2" applyNumberFormat="1" applyFont="1" applyFill="1" applyBorder="1" applyAlignment="1">
      <alignment horizontal="right"/>
    </xf>
    <xf numFmtId="0" fontId="29" fillId="15" borderId="39" xfId="2" applyNumberFormat="1" applyFont="1" applyFill="1" applyBorder="1" applyAlignment="1">
      <alignment horizontal="right"/>
    </xf>
    <xf numFmtId="0" fontId="29" fillId="15" borderId="41" xfId="2" applyNumberFormat="1" applyFont="1" applyFill="1" applyBorder="1" applyAlignment="1">
      <alignment horizontal="right"/>
    </xf>
    <xf numFmtId="164" fontId="29" fillId="5" borderId="25" xfId="4" applyNumberFormat="1" applyFont="1" applyFill="1" applyBorder="1" applyAlignment="1">
      <alignment horizontal="center" vertical="center"/>
      <protection locked="0"/>
    </xf>
    <xf numFmtId="164" fontId="29" fillId="5" borderId="27" xfId="4" applyNumberFormat="1" applyFont="1" applyFill="1" applyBorder="1" applyAlignment="1">
      <alignment horizontal="center" vertical="center"/>
      <protection locked="0"/>
    </xf>
    <xf numFmtId="0" fontId="0" fillId="5" borderId="26" xfId="4" applyNumberFormat="1" applyFont="1" applyFill="1" applyBorder="1" applyAlignment="1">
      <protection locked="0"/>
    </xf>
    <xf numFmtId="164" fontId="29" fillId="5" borderId="42" xfId="4" applyNumberFormat="1" applyFont="1" applyFill="1" applyBorder="1" applyAlignment="1">
      <alignment horizontal="center" vertical="center"/>
      <protection locked="0"/>
    </xf>
    <xf numFmtId="164" fontId="29" fillId="5" borderId="28" xfId="4" applyNumberFormat="1" applyFont="1" applyFill="1" applyBorder="1" applyAlignment="1">
      <alignment horizontal="center" vertical="center"/>
      <protection locked="0"/>
    </xf>
    <xf numFmtId="0" fontId="0" fillId="5" borderId="68" xfId="4" applyNumberFormat="1" applyFont="1" applyFill="1" applyBorder="1" applyAlignment="1">
      <protection locked="0"/>
    </xf>
    <xf numFmtId="164" fontId="29" fillId="5" borderId="43" xfId="4" applyNumberFormat="1" applyFont="1" applyFill="1" applyBorder="1" applyAlignment="1">
      <alignment horizontal="center" vertical="center"/>
      <protection locked="0"/>
    </xf>
    <xf numFmtId="164" fontId="29" fillId="5" borderId="29" xfId="4" applyNumberFormat="1" applyFont="1" applyFill="1" applyBorder="1" applyAlignment="1">
      <alignment horizontal="center" vertical="center"/>
      <protection locked="0"/>
    </xf>
    <xf numFmtId="0" fontId="0" fillId="5" borderId="69" xfId="4" applyNumberFormat="1" applyFont="1" applyFill="1" applyBorder="1" applyAlignment="1">
      <protection locked="0"/>
    </xf>
    <xf numFmtId="1" fontId="27" fillId="5" borderId="16" xfId="4" applyNumberFormat="1" applyFont="1" applyFill="1" applyBorder="1" applyAlignment="1">
      <alignment horizontal="center" vertical="center" wrapText="1"/>
      <protection locked="0"/>
    </xf>
    <xf numFmtId="1" fontId="27" fillId="5" borderId="37" xfId="4" applyNumberFormat="1" applyFont="1" applyFill="1" applyBorder="1" applyAlignment="1">
      <alignment horizontal="center" vertical="center" wrapText="1"/>
      <protection locked="0"/>
    </xf>
    <xf numFmtId="0" fontId="0" fillId="5" borderId="16" xfId="4" applyNumberFormat="1" applyFont="1" applyFill="1" applyBorder="1" applyAlignment="1">
      <protection locked="0"/>
    </xf>
    <xf numFmtId="164" fontId="27" fillId="5" borderId="77" xfId="4" applyNumberFormat="1" applyFont="1" applyFill="1" applyBorder="1" applyAlignment="1">
      <alignment horizontal="center" vertical="center" wrapText="1"/>
      <protection locked="0"/>
    </xf>
    <xf numFmtId="164" fontId="29" fillId="5" borderId="64" xfId="4" applyNumberFormat="1" applyFont="1" applyFill="1" applyBorder="1" applyAlignment="1">
      <alignment horizontal="center" vertical="center" wrapText="1"/>
      <protection locked="0"/>
    </xf>
    <xf numFmtId="0" fontId="0" fillId="5" borderId="64" xfId="4" applyNumberFormat="1" applyFont="1" applyFill="1" applyBorder="1" applyAlignment="1">
      <protection locked="0"/>
    </xf>
    <xf numFmtId="164" fontId="29" fillId="5" borderId="43" xfId="4" applyNumberFormat="1" applyFont="1" applyFill="1" applyBorder="1" applyAlignment="1">
      <alignment horizontal="center" vertical="center" wrapText="1"/>
      <protection locked="0"/>
    </xf>
    <xf numFmtId="164" fontId="29" fillId="5" borderId="69" xfId="4" applyNumberFormat="1" applyFont="1" applyFill="1" applyBorder="1" applyAlignment="1">
      <alignment horizontal="center" vertical="center" wrapText="1"/>
      <protection locked="0"/>
    </xf>
    <xf numFmtId="164" fontId="29" fillId="5" borderId="1" xfId="4" applyNumberFormat="1" applyFont="1" applyFill="1" applyBorder="1" applyAlignment="1">
      <alignment horizontal="center" vertical="center" wrapText="1"/>
      <protection locked="0"/>
    </xf>
    <xf numFmtId="164" fontId="29" fillId="5" borderId="4" xfId="4" applyNumberFormat="1" applyFont="1" applyFill="1" applyBorder="1" applyAlignment="1">
      <alignment horizontal="center" vertical="center" wrapText="1"/>
      <protection locked="0"/>
    </xf>
    <xf numFmtId="0" fontId="0" fillId="5" borderId="4" xfId="4" applyNumberFormat="1" applyFont="1" applyFill="1" applyBorder="1" applyAlignment="1">
      <protection locked="0"/>
    </xf>
    <xf numFmtId="3" fontId="29" fillId="5" borderId="27" xfId="4" applyNumberFormat="1" applyFont="1" applyFill="1" applyBorder="1" applyAlignment="1">
      <protection locked="0"/>
    </xf>
    <xf numFmtId="3" fontId="45" fillId="5" borderId="28" xfId="4" applyNumberFormat="1" applyFont="1" applyFill="1" applyBorder="1" applyAlignment="1">
      <protection locked="0"/>
    </xf>
    <xf numFmtId="3" fontId="45" fillId="5" borderId="29" xfId="4" applyNumberFormat="1" applyFont="1" applyFill="1" applyBorder="1" applyAlignment="1">
      <protection locked="0"/>
    </xf>
    <xf numFmtId="3" fontId="45" fillId="5" borderId="27" xfId="4" applyNumberFormat="1" applyFont="1" applyFill="1" applyBorder="1" applyAlignment="1">
      <protection locked="0"/>
    </xf>
    <xf numFmtId="3" fontId="45" fillId="5" borderId="31" xfId="4" applyNumberFormat="1" applyFont="1" applyFill="1" applyBorder="1" applyAlignment="1">
      <protection locked="0"/>
    </xf>
    <xf numFmtId="0" fontId="29" fillId="4" borderId="33" xfId="2" applyNumberFormat="1" applyFont="1" applyFill="1" applyBorder="1" applyAlignment="1">
      <alignment horizontal="right"/>
    </xf>
    <xf numFmtId="3" fontId="45" fillId="4" borderId="16" xfId="2" applyNumberFormat="1" applyFont="1" applyFill="1" applyBorder="1" applyAlignment="1"/>
    <xf numFmtId="0" fontId="27" fillId="3" borderId="73" xfId="2" applyNumberFormat="1" applyFont="1" applyFill="1" applyBorder="1" applyAlignment="1">
      <alignment vertical="center" wrapText="1"/>
    </xf>
    <xf numFmtId="0" fontId="27" fillId="3" borderId="16" xfId="2" applyNumberFormat="1" applyFont="1" applyFill="1" applyBorder="1" applyAlignment="1">
      <alignment vertical="center" wrapText="1"/>
    </xf>
    <xf numFmtId="0" fontId="27" fillId="3" borderId="30" xfId="2" applyNumberFormat="1" applyFont="1" applyFill="1" applyBorder="1" applyAlignment="1">
      <alignment horizontal="center" vertical="center" wrapText="1"/>
    </xf>
    <xf numFmtId="0" fontId="27" fillId="3" borderId="17" xfId="2" applyNumberFormat="1" applyFont="1" applyFill="1" applyBorder="1" applyAlignment="1">
      <alignment horizontal="center" vertical="center" wrapText="1"/>
    </xf>
    <xf numFmtId="0" fontId="27" fillId="3" borderId="24" xfId="2" applyNumberFormat="1" applyFont="1" applyFill="1" applyBorder="1" applyAlignment="1">
      <alignment horizontal="center" vertical="center" wrapText="1"/>
    </xf>
    <xf numFmtId="0" fontId="27" fillId="3" borderId="6" xfId="2" applyNumberFormat="1" applyFont="1" applyFill="1" applyBorder="1" applyAlignment="1">
      <alignment horizontal="center" vertical="center" wrapText="1"/>
    </xf>
    <xf numFmtId="0" fontId="27" fillId="3" borderId="7" xfId="2" applyNumberFormat="1" applyFont="1" applyFill="1" applyBorder="1" applyAlignment="1">
      <alignment horizontal="center" vertical="center" wrapText="1"/>
    </xf>
    <xf numFmtId="0" fontId="0" fillId="3" borderId="71" xfId="2" applyNumberFormat="1" applyFont="1" applyFill="1" applyBorder="1" applyAlignment="1"/>
    <xf numFmtId="0" fontId="29" fillId="3" borderId="27" xfId="2" applyNumberFormat="1" applyFont="1" applyFill="1" applyBorder="1" applyAlignment="1">
      <alignment horizontal="right" vertical="center" wrapText="1"/>
    </xf>
    <xf numFmtId="164" fontId="29" fillId="4" borderId="78" xfId="2" applyNumberFormat="1" applyFont="1" applyFill="1" applyBorder="1" applyAlignment="1">
      <alignment horizontal="center" vertical="center" wrapText="1"/>
    </xf>
    <xf numFmtId="0" fontId="29" fillId="3" borderId="28" xfId="2" applyNumberFormat="1" applyFont="1" applyFill="1" applyBorder="1" applyAlignment="1">
      <alignment horizontal="right" vertical="center" wrapText="1"/>
    </xf>
    <xf numFmtId="164" fontId="29" fillId="4" borderId="14" xfId="2" applyNumberFormat="1" applyFont="1" applyFill="1" applyBorder="1" applyAlignment="1">
      <alignment horizontal="center" vertical="center" wrapText="1"/>
    </xf>
    <xf numFmtId="164" fontId="29" fillId="4" borderId="41" xfId="2" applyNumberFormat="1" applyFont="1" applyFill="1" applyBorder="1" applyAlignment="1">
      <alignment horizontal="center" vertical="center" wrapText="1"/>
    </xf>
    <xf numFmtId="0" fontId="29" fillId="3" borderId="29" xfId="2" applyNumberFormat="1" applyFont="1" applyFill="1" applyBorder="1" applyAlignment="1">
      <alignment horizontal="right" vertical="center" wrapText="1"/>
    </xf>
    <xf numFmtId="0" fontId="29" fillId="3" borderId="1" xfId="2" applyNumberFormat="1" applyFont="1" applyFill="1" applyBorder="1" applyAlignment="1">
      <alignment horizontal="right" vertical="center" wrapText="1"/>
    </xf>
    <xf numFmtId="2" fontId="29" fillId="8" borderId="53" xfId="2" applyNumberFormat="1" applyFont="1" applyFill="1" applyBorder="1" applyAlignment="1">
      <alignment horizontal="center" vertical="center" wrapText="1"/>
    </xf>
    <xf numFmtId="164" fontId="27" fillId="4" borderId="9" xfId="2" applyNumberFormat="1" applyFont="1" applyFill="1" applyBorder="1" applyAlignment="1">
      <alignment horizontal="center" vertical="center" wrapText="1"/>
    </xf>
    <xf numFmtId="164" fontId="27" fillId="4" borderId="3" xfId="2" applyNumberFormat="1" applyFont="1" applyFill="1" applyBorder="1" applyAlignment="1">
      <alignment horizontal="center" vertical="center" wrapText="1"/>
    </xf>
    <xf numFmtId="0" fontId="29" fillId="8" borderId="53" xfId="2" applyNumberFormat="1" applyFont="1" applyFill="1" applyBorder="1" applyAlignment="1">
      <alignment horizontal="center" vertical="center" wrapText="1"/>
    </xf>
    <xf numFmtId="164" fontId="27" fillId="4" borderId="49" xfId="2" applyNumberFormat="1" applyFont="1" applyFill="1" applyBorder="1" applyAlignment="1">
      <alignment horizontal="center" vertical="center" wrapText="1"/>
    </xf>
    <xf numFmtId="0" fontId="27" fillId="3" borderId="32" xfId="2" applyNumberFormat="1" applyFont="1" applyFill="1" applyBorder="1" applyAlignment="1">
      <alignment vertical="center" wrapText="1"/>
    </xf>
    <xf numFmtId="0" fontId="27" fillId="3" borderId="0" xfId="2" applyNumberFormat="1" applyFont="1" applyFill="1" applyBorder="1" applyAlignment="1">
      <alignment horizontal="center" vertical="center" wrapText="1"/>
    </xf>
    <xf numFmtId="0" fontId="27" fillId="3" borderId="62" xfId="2" applyNumberFormat="1" applyFont="1" applyFill="1" applyBorder="1" applyAlignment="1">
      <alignment horizontal="center" vertical="center" wrapText="1"/>
    </xf>
    <xf numFmtId="164" fontId="29" fillId="4" borderId="18" xfId="2" applyNumberFormat="1" applyFont="1" applyFill="1" applyBorder="1" applyAlignment="1">
      <alignment horizontal="center" vertical="center" wrapText="1"/>
    </xf>
    <xf numFmtId="164" fontId="0" fillId="4" borderId="18" xfId="2" applyNumberFormat="1" applyFont="1" applyFill="1" applyBorder="1" applyAlignment="1">
      <alignment horizontal="center"/>
    </xf>
    <xf numFmtId="164" fontId="0" fillId="4" borderId="41" xfId="2" applyNumberFormat="1" applyFont="1" applyFill="1" applyBorder="1" applyAlignment="1">
      <alignment horizontal="center"/>
    </xf>
    <xf numFmtId="2" fontId="29" fillId="8" borderId="12" xfId="2" applyNumberFormat="1" applyFont="1" applyFill="1" applyBorder="1" applyAlignment="1">
      <alignment vertical="center" wrapText="1"/>
    </xf>
    <xf numFmtId="164" fontId="29" fillId="8" borderId="8" xfId="2" applyNumberFormat="1" applyFont="1" applyFill="1" applyBorder="1" applyAlignment="1">
      <alignment vertical="center" wrapText="1"/>
    </xf>
    <xf numFmtId="0" fontId="29" fillId="8" borderId="12" xfId="2" applyNumberFormat="1" applyFont="1" applyFill="1" applyBorder="1" applyAlignment="1">
      <alignment horizontal="center" vertical="center" wrapText="1"/>
    </xf>
    <xf numFmtId="164" fontId="29" fillId="8" borderId="8" xfId="2" applyNumberFormat="1" applyFont="1" applyFill="1" applyBorder="1" applyAlignment="1">
      <alignment horizontal="center" vertical="center" wrapText="1"/>
    </xf>
    <xf numFmtId="0" fontId="29" fillId="3" borderId="16" xfId="2" applyNumberFormat="1" applyFont="1" applyFill="1" applyBorder="1" applyAlignment="1">
      <alignment horizontal="right" vertical="center" wrapText="1"/>
    </xf>
    <xf numFmtId="2" fontId="29" fillId="8" borderId="4" xfId="2" applyNumberFormat="1" applyFont="1" applyFill="1" applyBorder="1" applyAlignment="1">
      <alignment vertical="center" wrapText="1"/>
    </xf>
    <xf numFmtId="164" fontId="29" fillId="8" borderId="4" xfId="2" applyNumberFormat="1" applyFont="1" applyFill="1" applyBorder="1" applyAlignment="1">
      <alignment vertical="center" wrapText="1"/>
    </xf>
    <xf numFmtId="164" fontId="27" fillId="4" borderId="4" xfId="2" applyNumberFormat="1" applyFont="1" applyFill="1" applyBorder="1" applyAlignment="1">
      <alignment horizontal="center" vertical="center" wrapText="1"/>
    </xf>
    <xf numFmtId="0" fontId="29" fillId="8" borderId="32" xfId="2" applyNumberFormat="1" applyFont="1" applyFill="1" applyBorder="1" applyAlignment="1">
      <alignment horizontal="center" vertical="center" wrapText="1"/>
    </xf>
    <xf numFmtId="164" fontId="29" fillId="8" borderId="32" xfId="2" applyNumberFormat="1" applyFont="1" applyFill="1" applyBorder="1" applyAlignment="1">
      <alignment horizontal="center" vertical="center" wrapText="1"/>
    </xf>
    <xf numFmtId="164" fontId="27" fillId="4" borderId="2" xfId="2" applyNumberFormat="1" applyFont="1" applyFill="1" applyBorder="1" applyAlignment="1">
      <alignment horizontal="center" vertical="center" wrapText="1"/>
    </xf>
    <xf numFmtId="0" fontId="29" fillId="3" borderId="32" xfId="2" applyNumberFormat="1" applyFont="1" applyFill="1" applyBorder="1" applyAlignment="1">
      <alignment horizontal="right" vertical="center" wrapText="1"/>
    </xf>
    <xf numFmtId="0" fontId="29" fillId="8" borderId="4" xfId="2" applyNumberFormat="1" applyFont="1" applyFill="1" applyBorder="1" applyAlignment="1">
      <alignment vertical="center" wrapText="1"/>
    </xf>
    <xf numFmtId="0" fontId="29" fillId="8" borderId="0" xfId="2" applyNumberFormat="1" applyFont="1" applyFill="1" applyBorder="1" applyAlignment="1">
      <alignment vertical="center" wrapText="1"/>
    </xf>
    <xf numFmtId="0" fontId="27" fillId="4" borderId="0" xfId="2" applyNumberFormat="1" applyFont="1" applyFill="1" applyBorder="1" applyAlignment="1">
      <alignment horizontal="center" vertical="center" wrapText="1"/>
    </xf>
    <xf numFmtId="0" fontId="29" fillId="8" borderId="7" xfId="2" applyNumberFormat="1" applyFont="1" applyFill="1" applyBorder="1" applyAlignment="1">
      <alignment horizontal="center" vertical="center" wrapText="1"/>
    </xf>
    <xf numFmtId="0" fontId="27" fillId="4" borderId="4" xfId="2" applyNumberFormat="1" applyFont="1" applyFill="1" applyBorder="1" applyAlignment="1">
      <alignment horizontal="center" vertical="center" wrapText="1"/>
    </xf>
    <xf numFmtId="0" fontId="59" fillId="3" borderId="32" xfId="2" applyNumberFormat="1" applyFont="1" applyFill="1" applyBorder="1" applyAlignment="1">
      <alignment vertical="center" wrapText="1"/>
    </xf>
    <xf numFmtId="2" fontId="26" fillId="4" borderId="16" xfId="2" applyNumberFormat="1" applyFont="1" applyFill="1" applyBorder="1" applyAlignment="1">
      <alignment horizontal="center" vertical="center"/>
    </xf>
    <xf numFmtId="0" fontId="61" fillId="3" borderId="30" xfId="2" applyNumberFormat="1" applyFont="1" applyFill="1" applyBorder="1" applyAlignment="1">
      <alignment horizontal="center" vertical="center" wrapText="1"/>
    </xf>
    <xf numFmtId="0" fontId="0" fillId="3" borderId="23" xfId="2" applyNumberFormat="1" applyFont="1" applyFill="1" applyBorder="1" applyAlignment="1">
      <alignment horizontal="center" vertical="center" wrapText="1"/>
    </xf>
    <xf numFmtId="2" fontId="26" fillId="4" borderId="16" xfId="2" applyNumberFormat="1" applyFont="1" applyFill="1" applyBorder="1" applyAlignment="1">
      <alignment horizontal="center" vertical="center" wrapText="1"/>
    </xf>
    <xf numFmtId="0" fontId="0" fillId="3" borderId="7" xfId="2" applyNumberFormat="1" applyFont="1" applyFill="1" applyBorder="1" applyAlignment="1">
      <alignment horizontal="center" vertical="center" wrapText="1"/>
    </xf>
    <xf numFmtId="0" fontId="27" fillId="3" borderId="16" xfId="2" applyNumberFormat="1" applyFont="1" applyFill="1" applyBorder="1" applyAlignment="1"/>
    <xf numFmtId="2" fontId="26" fillId="4" borderId="16" xfId="2" applyNumberFormat="1" applyFont="1" applyFill="1" applyBorder="1" applyAlignment="1">
      <alignment horizontal="center"/>
    </xf>
    <xf numFmtId="0" fontId="61" fillId="3" borderId="6" xfId="2" applyNumberFormat="1" applyFont="1" applyFill="1" applyBorder="1" applyAlignment="1">
      <alignment horizontal="center" vertical="center" wrapText="1"/>
    </xf>
    <xf numFmtId="0" fontId="0" fillId="3" borderId="7" xfId="2" applyNumberFormat="1" applyFont="1" applyFill="1" applyBorder="1" applyAlignment="1">
      <alignment horizontal="center" wrapText="1"/>
    </xf>
    <xf numFmtId="0" fontId="59" fillId="3" borderId="1" xfId="2" applyNumberFormat="1" applyFont="1" applyFill="1" applyBorder="1" applyAlignment="1">
      <alignment vertical="center" wrapText="1"/>
    </xf>
    <xf numFmtId="0" fontId="0" fillId="3" borderId="1" xfId="2" applyNumberFormat="1" applyFont="1" applyFill="1" applyBorder="1" applyAlignment="1">
      <alignment wrapText="1"/>
    </xf>
    <xf numFmtId="0" fontId="0" fillId="3" borderId="2" xfId="2" applyNumberFormat="1" applyFont="1" applyFill="1" applyBorder="1" applyAlignment="1">
      <alignment wrapText="1"/>
    </xf>
    <xf numFmtId="0" fontId="0" fillId="3" borderId="4" xfId="2" applyNumberFormat="1" applyFont="1" applyFill="1" applyBorder="1" applyAlignment="1">
      <alignment wrapText="1"/>
    </xf>
    <xf numFmtId="0" fontId="52" fillId="10" borderId="52" xfId="2" applyNumberFormat="1" applyFont="1" applyFill="1" applyBorder="1" applyAlignment="1">
      <alignment vertical="center" wrapText="1"/>
    </xf>
    <xf numFmtId="0" fontId="52" fillId="3" borderId="33" xfId="2" applyNumberFormat="1" applyFont="1" applyFill="1" applyBorder="1" applyAlignment="1">
      <alignment vertical="center" wrapText="1"/>
    </xf>
    <xf numFmtId="0" fontId="0" fillId="3" borderId="33" xfId="2" applyNumberFormat="1" applyFont="1" applyFill="1" applyBorder="1" applyAlignment="1"/>
    <xf numFmtId="0" fontId="27" fillId="3" borderId="33" xfId="2" applyNumberFormat="1" applyFont="1" applyFill="1" applyBorder="1" applyAlignment="1">
      <alignment horizontal="left" vertical="center" wrapText="1"/>
    </xf>
    <xf numFmtId="0" fontId="27" fillId="3" borderId="22" xfId="2" applyNumberFormat="1" applyFont="1" applyFill="1" applyBorder="1" applyAlignment="1">
      <alignment horizontal="center" vertical="center" wrapText="1"/>
    </xf>
    <xf numFmtId="0" fontId="27" fillId="3" borderId="50" xfId="2" applyNumberFormat="1" applyFont="1" applyFill="1" applyBorder="1" applyAlignment="1">
      <alignment horizontal="center" vertical="center" wrapText="1"/>
    </xf>
    <xf numFmtId="0" fontId="27" fillId="3" borderId="70" xfId="2" applyNumberFormat="1" applyFont="1" applyFill="1" applyBorder="1" applyAlignment="1">
      <alignment horizontal="center" vertical="center" wrapText="1"/>
    </xf>
    <xf numFmtId="0" fontId="27" fillId="3" borderId="16" xfId="2" applyNumberFormat="1" applyFont="1" applyFill="1" applyBorder="1" applyAlignment="1">
      <alignment vertical="center"/>
    </xf>
    <xf numFmtId="0" fontId="27" fillId="3" borderId="53" xfId="2" applyNumberFormat="1" applyFont="1" applyFill="1" applyBorder="1" applyAlignment="1">
      <alignment horizontal="center" vertical="center" wrapText="1"/>
    </xf>
    <xf numFmtId="0" fontId="27" fillId="3" borderId="9" xfId="2" applyNumberFormat="1" applyFont="1" applyFill="1" applyBorder="1" applyAlignment="1">
      <alignment horizontal="center" vertical="center" wrapText="1"/>
    </xf>
    <xf numFmtId="0" fontId="27" fillId="3" borderId="49" xfId="2" applyNumberFormat="1" applyFont="1" applyFill="1" applyBorder="1" applyAlignment="1">
      <alignment horizontal="center" vertical="center" wrapText="1"/>
    </xf>
    <xf numFmtId="0" fontId="27" fillId="3" borderId="10" xfId="2" applyNumberFormat="1" applyFont="1" applyFill="1" applyBorder="1" applyAlignment="1">
      <alignment horizontal="center" vertical="center" wrapText="1"/>
    </xf>
    <xf numFmtId="0" fontId="0" fillId="3" borderId="37" xfId="2" applyNumberFormat="1" applyFont="1" applyFill="1" applyBorder="1" applyAlignment="1"/>
    <xf numFmtId="0" fontId="29" fillId="3" borderId="31" xfId="2" applyNumberFormat="1" applyFont="1" applyFill="1" applyBorder="1" applyAlignment="1">
      <alignment horizontal="right" vertical="center"/>
    </xf>
    <xf numFmtId="0" fontId="29" fillId="3" borderId="28" xfId="2" applyNumberFormat="1" applyFont="1" applyFill="1" applyBorder="1" applyAlignment="1">
      <alignment horizontal="right" vertical="center"/>
    </xf>
    <xf numFmtId="0" fontId="29" fillId="3" borderId="29" xfId="2" applyNumberFormat="1" applyFont="1" applyFill="1" applyBorder="1" applyAlignment="1">
      <alignment horizontal="right" vertical="center"/>
    </xf>
    <xf numFmtId="0" fontId="29" fillId="3" borderId="1" xfId="2" applyNumberFormat="1" applyFont="1" applyFill="1" applyBorder="1" applyAlignment="1">
      <alignment vertical="center" wrapText="1"/>
    </xf>
    <xf numFmtId="0" fontId="27" fillId="3" borderId="4" xfId="2" applyNumberFormat="1" applyFont="1" applyFill="1" applyBorder="1" applyAlignment="1">
      <alignment vertical="center" wrapText="1"/>
    </xf>
    <xf numFmtId="2" fontId="29" fillId="0" borderId="11" xfId="4" applyNumberFormat="1" applyFont="1" applyFill="1" applyBorder="1" applyAlignment="1">
      <alignment horizontal="center" vertical="center" wrapText="1"/>
      <protection locked="0"/>
    </xf>
    <xf numFmtId="164" fontId="29" fillId="0" borderId="5" xfId="4" applyNumberFormat="1" applyFont="1" applyFill="1" applyBorder="1" applyAlignment="1">
      <alignment horizontal="center" vertical="center" wrapText="1"/>
      <protection locked="0"/>
    </xf>
    <xf numFmtId="2" fontId="29" fillId="0" borderId="20" xfId="4" applyNumberFormat="1" applyFont="1" applyFill="1" applyBorder="1" applyAlignment="1">
      <alignment horizontal="center" vertical="center" wrapText="1"/>
      <protection locked="0"/>
    </xf>
    <xf numFmtId="164" fontId="29" fillId="0" borderId="13" xfId="4" applyNumberFormat="1" applyFont="1" applyFill="1" applyBorder="1" applyAlignment="1">
      <alignment horizontal="center" vertical="center" wrapText="1"/>
      <protection locked="0"/>
    </xf>
    <xf numFmtId="2" fontId="29" fillId="5" borderId="11" xfId="4" applyNumberFormat="1" applyFont="1" applyFill="1" applyBorder="1" applyAlignment="1">
      <alignment horizontal="center" vertical="center" wrapText="1"/>
      <protection locked="0"/>
    </xf>
    <xf numFmtId="164" fontId="29" fillId="5" borderId="5" xfId="4" applyNumberFormat="1" applyFont="1" applyFill="1" applyBorder="1" applyAlignment="1">
      <alignment horizontal="center" vertical="center" wrapText="1"/>
      <protection locked="0"/>
    </xf>
    <xf numFmtId="2" fontId="29" fillId="5" borderId="20" xfId="4" applyNumberFormat="1" applyFont="1" applyFill="1" applyBorder="1" applyAlignment="1">
      <alignment horizontal="center" vertical="center" wrapText="1"/>
      <protection locked="0"/>
    </xf>
    <xf numFmtId="164" fontId="29" fillId="5" borderId="13" xfId="4" applyNumberFormat="1" applyFont="1" applyFill="1" applyBorder="1" applyAlignment="1">
      <alignment horizontal="center" vertical="center" wrapText="1"/>
      <protection locked="0"/>
    </xf>
    <xf numFmtId="0" fontId="0" fillId="5" borderId="27" xfId="4" applyNumberFormat="1" applyFont="1" applyFill="1" applyBorder="1" applyAlignment="1">
      <protection locked="0"/>
    </xf>
    <xf numFmtId="0" fontId="0" fillId="5" borderId="28" xfId="4" applyNumberFormat="1" applyFont="1" applyFill="1" applyBorder="1" applyAlignment="1">
      <protection locked="0"/>
    </xf>
    <xf numFmtId="0" fontId="0" fillId="0" borderId="28" xfId="4" applyNumberFormat="1" applyFont="1" applyFill="1" applyBorder="1" applyAlignment="1">
      <protection locked="0"/>
    </xf>
    <xf numFmtId="0" fontId="0" fillId="0" borderId="29" xfId="4" applyNumberFormat="1" applyFont="1" applyFill="1" applyBorder="1" applyAlignment="1">
      <protection locked="0"/>
    </xf>
    <xf numFmtId="0" fontId="0" fillId="0" borderId="4" xfId="4" applyNumberFormat="1" applyFont="1" applyFill="1" applyBorder="1" applyAlignment="1">
      <protection locked="0"/>
    </xf>
    <xf numFmtId="164" fontId="29" fillId="5" borderId="38" xfId="4" applyNumberFormat="1" applyFont="1" applyFill="1" applyBorder="1" applyAlignment="1">
      <alignment horizontal="center" vertical="center" wrapText="1"/>
      <protection locked="0"/>
    </xf>
    <xf numFmtId="2" fontId="0" fillId="0" borderId="11" xfId="4" applyNumberFormat="1" applyFont="1" applyFill="1" applyBorder="1" applyAlignment="1">
      <alignment horizontal="center"/>
      <protection locked="0"/>
    </xf>
    <xf numFmtId="164" fontId="0" fillId="0" borderId="5" xfId="4" applyNumberFormat="1" applyFont="1" applyFill="1" applyBorder="1" applyAlignment="1">
      <alignment horizontal="center"/>
      <protection locked="0"/>
    </xf>
    <xf numFmtId="2" fontId="0" fillId="0" borderId="20" xfId="4" applyNumberFormat="1" applyFont="1" applyFill="1" applyBorder="1" applyAlignment="1">
      <alignment horizontal="center"/>
      <protection locked="0"/>
    </xf>
    <xf numFmtId="164" fontId="0" fillId="0" borderId="13" xfId="4" applyNumberFormat="1" applyFont="1" applyFill="1" applyBorder="1" applyAlignment="1">
      <alignment horizontal="center"/>
      <protection locked="0"/>
    </xf>
    <xf numFmtId="164" fontId="0" fillId="0" borderId="38" xfId="4" applyNumberFormat="1" applyFont="1" applyFill="1" applyBorder="1" applyAlignment="1">
      <alignment horizontal="center"/>
      <protection locked="0"/>
    </xf>
    <xf numFmtId="0" fontId="0" fillId="0" borderId="27" xfId="4" applyNumberFormat="1" applyFont="1" applyFill="1" applyBorder="1" applyAlignment="1">
      <protection locked="0"/>
    </xf>
    <xf numFmtId="0" fontId="0" fillId="0" borderId="32" xfId="4" applyNumberFormat="1" applyFont="1" applyFill="1" applyBorder="1" applyAlignment="1">
      <protection locked="0"/>
    </xf>
    <xf numFmtId="0" fontId="0" fillId="0" borderId="16" xfId="4" applyNumberFormat="1" applyFont="1" applyFill="1" applyBorder="1" applyAlignment="1">
      <protection locked="0"/>
    </xf>
    <xf numFmtId="0" fontId="0" fillId="5" borderId="4" xfId="4" applyNumberFormat="1" applyFont="1" applyFill="1" applyBorder="1" applyAlignment="1">
      <alignment horizontal="center" vertical="center" wrapText="1"/>
      <protection locked="0"/>
    </xf>
    <xf numFmtId="0" fontId="26" fillId="5" borderId="16" xfId="4" applyNumberFormat="1" applyFont="1" applyFill="1" applyBorder="1" applyAlignment="1">
      <alignment horizontal="center" vertical="center"/>
      <protection locked="0"/>
    </xf>
    <xf numFmtId="0" fontId="0" fillId="5" borderId="32" xfId="4" applyNumberFormat="1" applyFont="1" applyFill="1" applyBorder="1" applyAlignment="1">
      <protection locked="0"/>
    </xf>
    <xf numFmtId="0" fontId="29" fillId="5" borderId="21" xfId="4" applyNumberFormat="1" applyFont="1" applyFill="1" applyBorder="1" applyAlignment="1">
      <alignment horizontal="center" vertical="center" wrapText="1"/>
      <protection locked="0"/>
    </xf>
    <xf numFmtId="0" fontId="29" fillId="5" borderId="34" xfId="4" applyNumberFormat="1" applyFont="1" applyFill="1" applyBorder="1" applyAlignment="1">
      <alignment horizontal="center" vertical="center" wrapText="1"/>
      <protection locked="0"/>
    </xf>
    <xf numFmtId="0" fontId="29" fillId="5" borderId="40" xfId="4" applyNumberFormat="1" applyFont="1" applyFill="1" applyBorder="1" applyAlignment="1">
      <alignment vertical="center" wrapText="1"/>
      <protection locked="0"/>
    </xf>
    <xf numFmtId="0" fontId="29" fillId="5" borderId="57" xfId="4" applyNumberFormat="1" applyFont="1" applyFill="1" applyBorder="1" applyAlignment="1">
      <alignment vertical="center" wrapText="1"/>
      <protection locked="0"/>
    </xf>
    <xf numFmtId="0" fontId="29" fillId="5" borderId="40" xfId="4" applyNumberFormat="1" applyFont="1" applyFill="1" applyBorder="1" applyAlignment="1">
      <alignment horizontal="center" vertical="center" wrapText="1"/>
      <protection locked="0"/>
    </xf>
    <xf numFmtId="0" fontId="29" fillId="5" borderId="27" xfId="4" applyNumberFormat="1" applyFont="1" applyFill="1" applyBorder="1" applyAlignment="1">
      <alignment horizontal="center" vertical="center" wrapText="1"/>
      <protection locked="0"/>
    </xf>
    <xf numFmtId="0" fontId="29" fillId="5" borderId="20" xfId="4" applyNumberFormat="1" applyFont="1" applyFill="1" applyBorder="1" applyAlignment="1">
      <alignment horizontal="center" vertical="center" wrapText="1"/>
      <protection locked="0"/>
    </xf>
    <xf numFmtId="0" fontId="29" fillId="5" borderId="13" xfId="4" applyNumberFormat="1" applyFont="1" applyFill="1" applyBorder="1" applyAlignment="1">
      <alignment horizontal="center" vertical="center" wrapText="1"/>
      <protection locked="0"/>
    </xf>
    <xf numFmtId="0" fontId="29" fillId="5" borderId="14" xfId="4" applyNumberFormat="1" applyFont="1" applyFill="1" applyBorder="1" applyAlignment="1">
      <alignment vertical="center" wrapText="1"/>
      <protection locked="0"/>
    </xf>
    <xf numFmtId="0" fontId="29" fillId="5" borderId="45" xfId="4" applyNumberFormat="1" applyFont="1" applyFill="1" applyBorder="1" applyAlignment="1">
      <alignment vertical="center" wrapText="1"/>
      <protection locked="0"/>
    </xf>
    <xf numFmtId="0" fontId="29" fillId="5" borderId="14" xfId="4" applyNumberFormat="1" applyFont="1" applyFill="1" applyBorder="1" applyAlignment="1">
      <alignment horizontal="center" vertical="center" wrapText="1"/>
      <protection locked="0"/>
    </xf>
    <xf numFmtId="0" fontId="29" fillId="5" borderId="28" xfId="4" applyNumberFormat="1" applyFont="1" applyFill="1" applyBorder="1" applyAlignment="1">
      <alignment horizontal="center" vertical="center" wrapText="1"/>
      <protection locked="0"/>
    </xf>
    <xf numFmtId="0" fontId="29" fillId="5" borderId="12" xfId="4" applyNumberFormat="1" applyFont="1" applyFill="1" applyBorder="1" applyAlignment="1">
      <alignment horizontal="center" vertical="center" wrapText="1"/>
      <protection locked="0"/>
    </xf>
    <xf numFmtId="0" fontId="29" fillId="5" borderId="8" xfId="4" applyNumberFormat="1" applyFont="1" applyFill="1" applyBorder="1" applyAlignment="1">
      <alignment horizontal="center" vertical="center" wrapText="1"/>
      <protection locked="0"/>
    </xf>
    <xf numFmtId="0" fontId="29" fillId="5" borderId="35" xfId="4" applyNumberFormat="1" applyFont="1" applyFill="1" applyBorder="1" applyAlignment="1">
      <alignment vertical="center" wrapText="1"/>
      <protection locked="0"/>
    </xf>
    <xf numFmtId="0" fontId="29" fillId="5" borderId="47" xfId="4" applyNumberFormat="1" applyFont="1" applyFill="1" applyBorder="1" applyAlignment="1">
      <alignment vertical="center" wrapText="1"/>
      <protection locked="0"/>
    </xf>
    <xf numFmtId="0" fontId="29" fillId="5" borderId="35" xfId="4" applyNumberFormat="1" applyFont="1" applyFill="1" applyBorder="1" applyAlignment="1">
      <alignment horizontal="center" vertical="center" wrapText="1"/>
      <protection locked="0"/>
    </xf>
    <xf numFmtId="0" fontId="29" fillId="5" borderId="32" xfId="4" applyNumberFormat="1" applyFont="1" applyFill="1" applyBorder="1" applyAlignment="1">
      <alignment horizontal="center" vertical="center" wrapText="1"/>
      <protection locked="0"/>
    </xf>
    <xf numFmtId="0" fontId="29" fillId="5" borderId="34" xfId="4" applyNumberFormat="1" applyFont="1" applyFill="1" applyBorder="1" applyAlignment="1">
      <alignment vertical="center" wrapText="1"/>
      <protection locked="0"/>
    </xf>
    <xf numFmtId="0" fontId="29" fillId="5" borderId="27" xfId="4" applyNumberFormat="1" applyFont="1" applyFill="1" applyBorder="1" applyAlignment="1">
      <alignment vertical="center" wrapText="1"/>
      <protection locked="0"/>
    </xf>
    <xf numFmtId="0" fontId="29" fillId="5" borderId="13" xfId="4" applyNumberFormat="1" applyFont="1" applyFill="1" applyBorder="1" applyAlignment="1">
      <alignment vertical="center" wrapText="1"/>
      <protection locked="0"/>
    </xf>
    <xf numFmtId="0" fontId="29" fillId="5" borderId="28" xfId="4" applyNumberFormat="1" applyFont="1" applyFill="1" applyBorder="1" applyAlignment="1">
      <alignment vertical="center" wrapText="1"/>
      <protection locked="0"/>
    </xf>
    <xf numFmtId="0" fontId="29" fillId="5" borderId="8" xfId="4" applyNumberFormat="1" applyFont="1" applyFill="1" applyBorder="1" applyAlignment="1">
      <alignment vertical="center" wrapText="1"/>
      <protection locked="0"/>
    </xf>
    <xf numFmtId="0" fontId="29" fillId="5" borderId="29" xfId="4" applyNumberFormat="1" applyFont="1" applyFill="1" applyBorder="1" applyAlignment="1">
      <alignment vertical="center" wrapText="1"/>
      <protection locked="0"/>
    </xf>
    <xf numFmtId="0" fontId="29" fillId="0" borderId="21" xfId="4" applyNumberFormat="1" applyFont="1" applyFill="1" applyBorder="1" applyAlignment="1">
      <alignment horizontal="center" vertical="center" wrapText="1"/>
      <protection locked="0"/>
    </xf>
    <xf numFmtId="0" fontId="29" fillId="0" borderId="34" xfId="4" applyNumberFormat="1" applyFont="1" applyFill="1" applyBorder="1" applyAlignment="1">
      <alignment vertical="center" wrapText="1"/>
      <protection locked="0"/>
    </xf>
    <xf numFmtId="0" fontId="29" fillId="0" borderId="40" xfId="4" applyNumberFormat="1" applyFont="1" applyFill="1" applyBorder="1" applyAlignment="1">
      <alignment vertical="center" wrapText="1"/>
      <protection locked="0"/>
    </xf>
    <xf numFmtId="0" fontId="29" fillId="0" borderId="57" xfId="4" applyNumberFormat="1" applyFont="1" applyFill="1" applyBorder="1" applyAlignment="1">
      <alignment vertical="center" wrapText="1"/>
      <protection locked="0"/>
    </xf>
    <xf numFmtId="0" fontId="29" fillId="0" borderId="27" xfId="4" applyNumberFormat="1" applyFont="1" applyFill="1" applyBorder="1" applyAlignment="1">
      <alignment vertical="center" wrapText="1"/>
      <protection locked="0"/>
    </xf>
    <xf numFmtId="0" fontId="29" fillId="0" borderId="20" xfId="4" applyNumberFormat="1" applyFont="1" applyFill="1" applyBorder="1" applyAlignment="1">
      <alignment horizontal="center" vertical="center" wrapText="1"/>
      <protection locked="0"/>
    </xf>
    <xf numFmtId="0" fontId="29" fillId="0" borderId="13" xfId="4" applyNumberFormat="1" applyFont="1" applyFill="1" applyBorder="1" applyAlignment="1">
      <alignment vertical="center" wrapText="1"/>
      <protection locked="0"/>
    </xf>
    <xf numFmtId="0" fontId="29" fillId="0" borderId="14" xfId="4" applyNumberFormat="1" applyFont="1" applyFill="1" applyBorder="1" applyAlignment="1">
      <alignment vertical="center" wrapText="1"/>
      <protection locked="0"/>
    </xf>
    <xf numFmtId="0" fontId="29" fillId="0" borderId="45" xfId="4" applyNumberFormat="1" applyFont="1" applyFill="1" applyBorder="1" applyAlignment="1">
      <alignment vertical="center" wrapText="1"/>
      <protection locked="0"/>
    </xf>
    <xf numFmtId="0" fontId="29" fillId="0" borderId="28" xfId="4" applyNumberFormat="1" applyFont="1" applyFill="1" applyBorder="1" applyAlignment="1">
      <alignment vertical="center" wrapText="1"/>
      <protection locked="0"/>
    </xf>
    <xf numFmtId="0" fontId="29" fillId="0" borderId="8" xfId="4" applyNumberFormat="1" applyFont="1" applyFill="1" applyBorder="1" applyAlignment="1">
      <alignment vertical="center" wrapText="1"/>
      <protection locked="0"/>
    </xf>
    <xf numFmtId="0" fontId="29" fillId="0" borderId="35" xfId="4" applyNumberFormat="1" applyFont="1" applyFill="1" applyBorder="1" applyAlignment="1">
      <alignment vertical="center" wrapText="1"/>
      <protection locked="0"/>
    </xf>
    <xf numFmtId="0" fontId="29" fillId="0" borderId="47" xfId="4" applyNumberFormat="1" applyFont="1" applyFill="1" applyBorder="1" applyAlignment="1">
      <alignment vertical="center" wrapText="1"/>
      <protection locked="0"/>
    </xf>
    <xf numFmtId="0" fontId="29" fillId="0" borderId="29" xfId="4" applyNumberFormat="1" applyFont="1" applyFill="1" applyBorder="1" applyAlignment="1">
      <alignment vertical="center" wrapText="1"/>
      <protection locked="0"/>
    </xf>
    <xf numFmtId="0" fontId="0" fillId="0" borderId="20" xfId="4" applyNumberFormat="1" applyFont="1" applyFill="1" applyBorder="1" applyAlignment="1">
      <protection locked="0"/>
    </xf>
    <xf numFmtId="0" fontId="29" fillId="5" borderId="27" xfId="4" applyNumberFormat="1" applyFont="1" applyFill="1" applyBorder="1" applyAlignment="1">
      <alignment horizontal="right" vertical="center" wrapText="1"/>
      <protection locked="0"/>
    </xf>
    <xf numFmtId="0" fontId="29" fillId="5" borderId="28" xfId="4" applyNumberFormat="1" applyFont="1" applyFill="1" applyBorder="1" applyAlignment="1">
      <alignment horizontal="right" vertical="center" wrapText="1"/>
      <protection locked="0"/>
    </xf>
    <xf numFmtId="0" fontId="27" fillId="5" borderId="29" xfId="4" applyNumberFormat="1" applyFont="1" applyFill="1" applyBorder="1" applyAlignment="1">
      <alignment horizontal="right" vertical="center" wrapText="1"/>
      <protection locked="0"/>
    </xf>
    <xf numFmtId="0" fontId="29" fillId="0" borderId="12" xfId="4" applyNumberFormat="1" applyFont="1" applyFill="1" applyBorder="1" applyAlignment="1">
      <alignment vertical="center" wrapText="1"/>
      <protection locked="0"/>
    </xf>
    <xf numFmtId="0" fontId="44" fillId="3" borderId="16" xfId="2" applyNumberFormat="1" applyFont="1" applyFill="1" applyBorder="1" applyAlignment="1">
      <alignment horizontal="left" vertical="center" wrapText="1"/>
    </xf>
    <xf numFmtId="0" fontId="44" fillId="3" borderId="30" xfId="2" applyNumberFormat="1" applyFont="1" applyFill="1" applyBorder="1" applyAlignment="1">
      <alignment horizontal="center" vertical="center" wrapText="1"/>
    </xf>
    <xf numFmtId="0" fontId="25" fillId="3" borderId="0" xfId="2" applyNumberFormat="1" applyFont="1" applyFill="1" applyBorder="1" applyAlignment="1"/>
    <xf numFmtId="0" fontId="78" fillId="3" borderId="1" xfId="2" applyNumberFormat="1" applyFont="1" applyFill="1" applyBorder="1" applyAlignment="1">
      <alignment vertical="center" wrapText="1"/>
    </xf>
    <xf numFmtId="2" fontId="29" fillId="21" borderId="11" xfId="2" applyNumberFormat="1" applyFont="1" applyFill="1" applyBorder="1" applyAlignment="1">
      <alignment horizontal="center" vertical="center"/>
    </xf>
    <xf numFmtId="2" fontId="29" fillId="21" borderId="5" xfId="2" applyNumberFormat="1" applyFont="1" applyFill="1" applyBorder="1" applyAlignment="1">
      <alignment horizontal="center" vertical="center" wrapText="1"/>
    </xf>
    <xf numFmtId="2" fontId="29" fillId="21" borderId="63" xfId="2" applyNumberFormat="1" applyFont="1" applyFill="1" applyBorder="1" applyAlignment="1">
      <alignment horizontal="center" vertical="center" wrapText="1"/>
    </xf>
    <xf numFmtId="2" fontId="29" fillId="21" borderId="20" xfId="2" applyNumberFormat="1" applyFont="1" applyFill="1" applyBorder="1" applyAlignment="1">
      <alignment horizontal="center" vertical="center"/>
    </xf>
    <xf numFmtId="2" fontId="29" fillId="21" borderId="13" xfId="2" applyNumberFormat="1" applyFont="1" applyFill="1" applyBorder="1" applyAlignment="1">
      <alignment horizontal="center" vertical="center"/>
    </xf>
    <xf numFmtId="2" fontId="29" fillId="21" borderId="14" xfId="2" applyNumberFormat="1" applyFont="1" applyFill="1" applyBorder="1" applyAlignment="1">
      <alignment horizontal="center" vertical="center" wrapText="1"/>
    </xf>
    <xf numFmtId="2" fontId="29" fillId="4" borderId="13" xfId="2" applyNumberFormat="1" applyFont="1" applyFill="1" applyBorder="1" applyAlignment="1">
      <alignment horizontal="center" vertical="center"/>
    </xf>
    <xf numFmtId="0" fontId="22" fillId="3" borderId="33" xfId="2" applyNumberFormat="1" applyFont="1" applyFill="1" applyBorder="1" applyAlignment="1">
      <alignment wrapText="1"/>
    </xf>
    <xf numFmtId="0" fontId="33" fillId="3" borderId="0" xfId="2" applyNumberFormat="1" applyFont="1" applyFill="1" applyBorder="1" applyAlignment="1"/>
    <xf numFmtId="0" fontId="22" fillId="3" borderId="1" xfId="2" applyNumberFormat="1" applyFont="1" applyFill="1" applyBorder="1" applyAlignment="1">
      <alignment wrapText="1"/>
    </xf>
    <xf numFmtId="0" fontId="26" fillId="3" borderId="71" xfId="2" applyNumberFormat="1" applyFont="1" applyFill="1" applyBorder="1" applyAlignment="1">
      <alignment horizontal="center"/>
    </xf>
    <xf numFmtId="0" fontId="26" fillId="3" borderId="24" xfId="2" applyNumberFormat="1" applyFont="1" applyFill="1" applyBorder="1" applyAlignment="1">
      <alignment horizontal="center"/>
    </xf>
    <xf numFmtId="2" fontId="29" fillId="21" borderId="42" xfId="2" applyNumberFormat="1" applyFont="1" applyFill="1" applyBorder="1" applyAlignment="1">
      <alignment horizontal="center" vertical="center"/>
    </xf>
    <xf numFmtId="2" fontId="29" fillId="21" borderId="45" xfId="2" applyNumberFormat="1" applyFont="1" applyFill="1" applyBorder="1" applyAlignment="1">
      <alignment horizontal="center" vertical="center"/>
    </xf>
    <xf numFmtId="164" fontId="22" fillId="4" borderId="13" xfId="2" applyNumberFormat="1" applyFont="1" applyFill="1" applyBorder="1" applyAlignment="1">
      <alignment horizontal="center"/>
    </xf>
    <xf numFmtId="0" fontId="22" fillId="3" borderId="32" xfId="2" applyNumberFormat="1" applyFont="1" applyFill="1" applyBorder="1" applyAlignment="1">
      <alignment horizontal="center"/>
    </xf>
    <xf numFmtId="0" fontId="29" fillId="3" borderId="32" xfId="2" applyNumberFormat="1" applyFont="1" applyFill="1" applyBorder="1" applyAlignment="1">
      <alignment horizontal="center"/>
    </xf>
    <xf numFmtId="0" fontId="29" fillId="3" borderId="4" xfId="2" applyNumberFormat="1" applyFont="1" applyFill="1" applyBorder="1" applyAlignment="1">
      <alignment horizontal="center"/>
    </xf>
    <xf numFmtId="0" fontId="22" fillId="3" borderId="16" xfId="2" applyNumberFormat="1" applyFont="1" applyFill="1" applyBorder="1" applyAlignment="1"/>
    <xf numFmtId="0" fontId="29" fillId="4" borderId="34" xfId="2" applyNumberFormat="1" applyFont="1" applyFill="1" applyBorder="1" applyAlignment="1"/>
    <xf numFmtId="4" fontId="29" fillId="4" borderId="13" xfId="2" applyNumberFormat="1" applyFont="1" applyFill="1" applyBorder="1" applyAlignment="1"/>
    <xf numFmtId="0" fontId="29" fillId="4" borderId="13" xfId="2" applyNumberFormat="1" applyFont="1" applyFill="1" applyBorder="1" applyAlignment="1"/>
    <xf numFmtId="2" fontId="29" fillId="4" borderId="42" xfId="2" applyNumberFormat="1" applyFont="1" applyFill="1" applyBorder="1" applyAlignment="1">
      <alignment horizontal="center" vertical="center"/>
    </xf>
    <xf numFmtId="2" fontId="29" fillId="4" borderId="45" xfId="2" applyNumberFormat="1" applyFont="1" applyFill="1" applyBorder="1" applyAlignment="1">
      <alignment horizontal="center" vertical="center"/>
    </xf>
    <xf numFmtId="0" fontId="22" fillId="3" borderId="33" xfId="2" applyNumberFormat="1" applyFont="1" applyFill="1" applyBorder="1" applyAlignment="1"/>
    <xf numFmtId="0" fontId="88" fillId="3" borderId="1" xfId="2" applyNumberFormat="1" applyFont="1" applyFill="1" applyBorder="1" applyAlignment="1">
      <alignment vertical="center" wrapText="1"/>
    </xf>
    <xf numFmtId="2" fontId="26" fillId="21" borderId="33" xfId="2" applyNumberFormat="1" applyFont="1" applyFill="1" applyBorder="1" applyAlignment="1">
      <alignment horizontal="center" vertical="center"/>
    </xf>
    <xf numFmtId="2" fontId="29" fillId="21" borderId="50" xfId="2" applyNumberFormat="1" applyFont="1" applyFill="1" applyBorder="1" applyAlignment="1">
      <alignment horizontal="center" vertical="center" wrapText="1"/>
    </xf>
    <xf numFmtId="2" fontId="29" fillId="21" borderId="21" xfId="2" applyNumberFormat="1" applyFont="1" applyFill="1" applyBorder="1" applyAlignment="1">
      <alignment horizontal="center" vertical="center"/>
    </xf>
    <xf numFmtId="2" fontId="29" fillId="21" borderId="34" xfId="2" applyNumberFormat="1" applyFont="1" applyFill="1" applyBorder="1" applyAlignment="1">
      <alignment horizontal="center" vertical="center"/>
    </xf>
    <xf numFmtId="2" fontId="29" fillId="21" borderId="40" xfId="2" applyNumberFormat="1" applyFont="1" applyFill="1" applyBorder="1" applyAlignment="1">
      <alignment horizontal="center" vertical="center" wrapText="1"/>
    </xf>
    <xf numFmtId="2" fontId="29" fillId="21" borderId="12" xfId="2" applyNumberFormat="1" applyFont="1" applyFill="1" applyBorder="1" applyAlignment="1">
      <alignment horizontal="center" vertical="center"/>
    </xf>
    <xf numFmtId="2" fontId="29" fillId="21" borderId="8" xfId="2" applyNumberFormat="1" applyFont="1" applyFill="1" applyBorder="1" applyAlignment="1">
      <alignment horizontal="center" vertical="center"/>
    </xf>
    <xf numFmtId="2" fontId="29" fillId="21" borderId="35" xfId="2" applyNumberFormat="1" applyFont="1" applyFill="1" applyBorder="1" applyAlignment="1">
      <alignment horizontal="center" vertical="center" wrapText="1"/>
    </xf>
    <xf numFmtId="0" fontId="88" fillId="3" borderId="23" xfId="2" applyNumberFormat="1" applyFont="1" applyFill="1" applyBorder="1" applyAlignment="1">
      <alignment vertical="center" wrapText="1"/>
    </xf>
    <xf numFmtId="0" fontId="0" fillId="3" borderId="0" xfId="2" applyNumberFormat="1" applyFont="1" applyFill="1" applyBorder="1" applyAlignment="1">
      <alignment horizontal="right"/>
    </xf>
    <xf numFmtId="2" fontId="0" fillId="3" borderId="0" xfId="2" applyNumberFormat="1" applyFont="1" applyFill="1" applyBorder="1" applyAlignment="1"/>
    <xf numFmtId="0" fontId="0" fillId="0" borderId="71" xfId="4" applyNumberFormat="1" applyFont="1" applyFill="1" applyBorder="1" applyAlignment="1">
      <protection locked="0"/>
    </xf>
    <xf numFmtId="0" fontId="0" fillId="0" borderId="73" xfId="4" applyNumberFormat="1" applyFont="1" applyFill="1" applyBorder="1" applyAlignment="1">
      <protection locked="0"/>
    </xf>
    <xf numFmtId="0" fontId="34" fillId="0" borderId="73" xfId="4" applyNumberFormat="1" applyFont="1" applyFill="1" applyBorder="1" applyAlignment="1">
      <protection locked="0"/>
    </xf>
    <xf numFmtId="2" fontId="29" fillId="5" borderId="13" xfId="4" applyNumberFormat="1" applyFont="1" applyFill="1" applyBorder="1" applyAlignment="1">
      <alignment horizontal="center" vertical="center"/>
      <protection locked="0"/>
    </xf>
    <xf numFmtId="2" fontId="29" fillId="5" borderId="42" xfId="4" applyNumberFormat="1" applyFont="1" applyFill="1" applyBorder="1" applyAlignment="1">
      <alignment horizontal="center"/>
      <protection locked="0"/>
    </xf>
    <xf numFmtId="2" fontId="29" fillId="5" borderId="45" xfId="4" applyNumberFormat="1" applyFont="1" applyFill="1" applyBorder="1" applyAlignment="1">
      <alignment horizontal="center"/>
      <protection locked="0"/>
    </xf>
    <xf numFmtId="1" fontId="29" fillId="5" borderId="34" xfId="4" applyNumberFormat="1" applyFont="1" applyFill="1" applyBorder="1" applyAlignment="1">
      <protection locked="0"/>
    </xf>
    <xf numFmtId="1" fontId="29" fillId="5" borderId="13" xfId="4" applyNumberFormat="1" applyFont="1" applyFill="1" applyBorder="1" applyAlignment="1">
      <protection locked="0"/>
    </xf>
    <xf numFmtId="0" fontId="29" fillId="5" borderId="13" xfId="4" applyNumberFormat="1" applyFont="1" applyFill="1" applyBorder="1" applyAlignment="1">
      <protection locked="0"/>
    </xf>
    <xf numFmtId="0" fontId="28" fillId="3" borderId="0" xfId="2" applyNumberFormat="1" applyFont="1" applyFill="1" applyBorder="1" applyAlignment="1"/>
    <xf numFmtId="0" fontId="22" fillId="3" borderId="0" xfId="2" applyNumberFormat="1" applyFont="1" applyFill="1" applyBorder="1" applyAlignment="1">
      <alignment horizontal="right"/>
    </xf>
    <xf numFmtId="0" fontId="22" fillId="4" borderId="41" xfId="2" applyNumberFormat="1" applyFont="1" applyFill="1" applyBorder="1" applyAlignment="1">
      <alignment horizontal="left"/>
    </xf>
    <xf numFmtId="0" fontId="42" fillId="3" borderId="0" xfId="2" applyNumberFormat="1" applyFont="1" applyFill="1" applyBorder="1" applyAlignment="1">
      <alignment horizontal="right"/>
    </xf>
    <xf numFmtId="0" fontId="41" fillId="3" borderId="0" xfId="2" applyNumberFormat="1" applyFont="1" applyFill="1" applyBorder="1" applyAlignment="1">
      <alignment horizontal="right"/>
    </xf>
    <xf numFmtId="0" fontId="22" fillId="5" borderId="13" xfId="2" applyNumberFormat="1" applyFont="1" applyFill="1" applyBorder="1" applyAlignment="1"/>
    <xf numFmtId="0" fontId="22" fillId="0" borderId="13" xfId="2" applyNumberFormat="1" applyFont="1" applyFill="1" applyBorder="1" applyAlignment="1"/>
    <xf numFmtId="0" fontId="22" fillId="4" borderId="13" xfId="2" applyNumberFormat="1" applyFont="1" applyFill="1" applyBorder="1" applyAlignment="1">
      <alignment horizontal="right"/>
    </xf>
    <xf numFmtId="0" fontId="22" fillId="4" borderId="13" xfId="2" applyNumberFormat="1" applyFont="1" applyFill="1" applyBorder="1" applyAlignment="1"/>
    <xf numFmtId="0" fontId="41" fillId="3" borderId="0" xfId="2" applyNumberFormat="1" applyFont="1" applyFill="1" applyBorder="1" applyAlignment="1"/>
    <xf numFmtId="0" fontId="29" fillId="0" borderId="13" xfId="2" applyNumberFormat="1" applyFont="1" applyFill="1" applyBorder="1" applyAlignment="1">
      <alignment horizontal="right"/>
    </xf>
    <xf numFmtId="0" fontId="29" fillId="0" borderId="0" xfId="2" applyNumberFormat="1" applyFont="1" applyFill="1" applyBorder="1" applyAlignment="1">
      <alignment horizontal="right"/>
    </xf>
    <xf numFmtId="0" fontId="32" fillId="3" borderId="0" xfId="2" applyNumberFormat="1" applyFont="1" applyFill="1" applyBorder="1" applyAlignment="1"/>
    <xf numFmtId="0" fontId="31" fillId="3" borderId="11" xfId="2" applyNumberFormat="1" applyFont="1" applyFill="1" applyBorder="1" applyAlignment="1">
      <alignment horizontal="center" wrapText="1"/>
    </xf>
    <xf numFmtId="0" fontId="10" fillId="3" borderId="5" xfId="2" applyNumberFormat="1" applyFont="1" applyFill="1" applyBorder="1" applyAlignment="1">
      <alignment horizontal="center" wrapText="1"/>
    </xf>
    <xf numFmtId="0" fontId="26" fillId="3" borderId="19" xfId="2" applyNumberFormat="1" applyFont="1" applyFill="1" applyBorder="1" applyAlignment="1">
      <alignment horizontal="center" wrapText="1"/>
    </xf>
    <xf numFmtId="0" fontId="26" fillId="3" borderId="5" xfId="2" applyNumberFormat="1" applyFont="1" applyFill="1" applyBorder="1" applyAlignment="1">
      <alignment horizontal="center" wrapText="1"/>
    </xf>
    <xf numFmtId="0" fontId="26" fillId="3" borderId="63" xfId="2" applyNumberFormat="1" applyFont="1" applyFill="1" applyBorder="1" applyAlignment="1">
      <alignment horizontal="center" wrapText="1"/>
    </xf>
    <xf numFmtId="0" fontId="10" fillId="3" borderId="19" xfId="2" applyNumberFormat="1" applyFont="1" applyFill="1" applyBorder="1" applyAlignment="1">
      <alignment horizontal="center" wrapText="1"/>
    </xf>
    <xf numFmtId="0" fontId="26" fillId="3" borderId="18" xfId="2" applyNumberFormat="1" applyFont="1" applyFill="1" applyBorder="1" applyAlignment="1">
      <alignment horizontal="center" wrapText="1"/>
    </xf>
    <xf numFmtId="0" fontId="25" fillId="3" borderId="1" xfId="2" applyNumberFormat="1" applyFont="1" applyFill="1" applyBorder="1" applyAlignment="1"/>
    <xf numFmtId="0" fontId="37" fillId="3" borderId="8" xfId="2" applyNumberFormat="1" applyFont="1" applyFill="1" applyBorder="1" applyAlignment="1">
      <alignment horizontal="center"/>
    </xf>
    <xf numFmtId="0" fontId="27" fillId="3" borderId="65" xfId="2" applyNumberFormat="1" applyFont="1" applyFill="1" applyBorder="1" applyAlignment="1">
      <alignment horizontal="center"/>
    </xf>
    <xf numFmtId="0" fontId="27" fillId="3" borderId="8" xfId="2" applyNumberFormat="1" applyFont="1" applyFill="1" applyBorder="1" applyAlignment="1">
      <alignment horizontal="center"/>
    </xf>
    <xf numFmtId="0" fontId="27" fillId="3" borderId="49" xfId="2" applyNumberFormat="1" applyFont="1" applyFill="1" applyBorder="1" applyAlignment="1">
      <alignment horizontal="center"/>
    </xf>
    <xf numFmtId="0" fontId="37" fillId="3" borderId="47" xfId="2" applyNumberFormat="1" applyFont="1" applyFill="1" applyBorder="1" applyAlignment="1">
      <alignment horizontal="center"/>
    </xf>
    <xf numFmtId="0" fontId="25" fillId="3" borderId="3" xfId="2" applyNumberFormat="1" applyFont="1" applyFill="1" applyBorder="1" applyAlignment="1">
      <alignment horizontal="center"/>
    </xf>
    <xf numFmtId="0" fontId="25" fillId="3" borderId="2" xfId="2" applyNumberFormat="1" applyFont="1" applyFill="1" applyBorder="1" applyAlignment="1">
      <alignment horizontal="center"/>
    </xf>
    <xf numFmtId="0" fontId="25" fillId="3" borderId="4" xfId="2" applyNumberFormat="1" applyFont="1" applyFill="1" applyBorder="1" applyAlignment="1">
      <alignment horizontal="center"/>
    </xf>
    <xf numFmtId="0" fontId="22" fillId="3" borderId="30" xfId="2" applyNumberFormat="1" applyFont="1" applyFill="1" applyBorder="1" applyAlignment="1">
      <alignment horizontal="right"/>
    </xf>
    <xf numFmtId="3" fontId="6" fillId="4" borderId="34" xfId="2" applyNumberFormat="1" applyFont="1" applyFill="1" applyBorder="1" applyAlignment="1"/>
    <xf numFmtId="3" fontId="22" fillId="4" borderId="34" xfId="2" applyNumberFormat="1" applyFont="1" applyFill="1" applyBorder="1" applyAlignment="1"/>
    <xf numFmtId="3" fontId="22" fillId="4" borderId="63" xfId="2" applyNumberFormat="1" applyFont="1" applyFill="1" applyBorder="1" applyAlignment="1"/>
    <xf numFmtId="0" fontId="22" fillId="3" borderId="6" xfId="2" applyNumberFormat="1" applyFont="1" applyFill="1" applyBorder="1" applyAlignment="1">
      <alignment horizontal="right"/>
    </xf>
    <xf numFmtId="3" fontId="6" fillId="4" borderId="13" xfId="2" applyNumberFormat="1" applyFont="1" applyFill="1" applyBorder="1" applyAlignment="1"/>
    <xf numFmtId="3" fontId="6" fillId="4" borderId="13" xfId="2" quotePrefix="1" applyNumberFormat="1" applyFont="1" applyFill="1" applyBorder="1" applyAlignment="1">
      <alignment horizontal="right"/>
    </xf>
    <xf numFmtId="3" fontId="22" fillId="4" borderId="61" xfId="2" applyNumberFormat="1" applyFont="1" applyFill="1" applyBorder="1" applyAlignment="1"/>
    <xf numFmtId="0" fontId="6" fillId="3" borderId="6" xfId="2" applyNumberFormat="1" applyFont="1" applyFill="1" applyBorder="1" applyAlignment="1">
      <alignment horizontal="right"/>
    </xf>
    <xf numFmtId="3" fontId="22" fillId="4" borderId="13" xfId="2" applyNumberFormat="1" applyFont="1" applyFill="1" applyBorder="1" applyAlignment="1"/>
    <xf numFmtId="3" fontId="22" fillId="4" borderId="14" xfId="2" applyNumberFormat="1" applyFont="1" applyFill="1" applyBorder="1" applyAlignment="1"/>
    <xf numFmtId="0" fontId="48" fillId="3" borderId="0" xfId="2" applyNumberFormat="1" applyFont="1" applyFill="1" applyBorder="1" applyAlignment="1">
      <alignment horizontal="right"/>
    </xf>
    <xf numFmtId="3" fontId="6" fillId="4" borderId="14" xfId="2" applyNumberFormat="1" applyFont="1" applyFill="1" applyBorder="1" applyAlignment="1"/>
    <xf numFmtId="3" fontId="22" fillId="6" borderId="13" xfId="2" applyNumberFormat="1" applyFont="1" applyFill="1" applyBorder="1" applyAlignment="1"/>
    <xf numFmtId="3" fontId="22" fillId="6" borderId="61" xfId="2" applyNumberFormat="1" applyFont="1" applyFill="1" applyBorder="1" applyAlignment="1"/>
    <xf numFmtId="164" fontId="6" fillId="6" borderId="45" xfId="2" applyNumberFormat="1" applyFont="1" applyFill="1" applyBorder="1" applyAlignment="1"/>
    <xf numFmtId="164" fontId="6" fillId="6" borderId="13" xfId="2" applyNumberFormat="1" applyFont="1" applyFill="1" applyBorder="1" applyAlignment="1"/>
    <xf numFmtId="164" fontId="6" fillId="6" borderId="0" xfId="2" applyNumberFormat="1" applyFont="1" applyFill="1" applyBorder="1" applyAlignment="1"/>
    <xf numFmtId="3" fontId="6" fillId="6" borderId="13" xfId="2" applyNumberFormat="1" applyFont="1" applyFill="1" applyBorder="1" applyAlignment="1"/>
    <xf numFmtId="3" fontId="46" fillId="6" borderId="13" xfId="2" applyNumberFormat="1" applyFont="1" applyFill="1" applyBorder="1" applyAlignment="1"/>
    <xf numFmtId="3" fontId="22" fillId="6" borderId="14" xfId="2" applyNumberFormat="1" applyFont="1" applyFill="1" applyBorder="1" applyAlignment="1"/>
    <xf numFmtId="1" fontId="6" fillId="6" borderId="45" xfId="2" applyNumberFormat="1" applyFont="1" applyFill="1" applyBorder="1" applyAlignment="1"/>
    <xf numFmtId="1" fontId="6" fillId="6" borderId="13" xfId="2" applyNumberFormat="1" applyFont="1" applyFill="1" applyBorder="1" applyAlignment="1"/>
    <xf numFmtId="164" fontId="22" fillId="6" borderId="13" xfId="2" applyNumberFormat="1" applyFont="1" applyFill="1" applyBorder="1" applyAlignment="1"/>
    <xf numFmtId="0" fontId="22" fillId="3" borderId="6" xfId="2" applyNumberFormat="1" applyFont="1" applyFill="1" applyBorder="1" applyAlignment="1"/>
    <xf numFmtId="164" fontId="22" fillId="6" borderId="0" xfId="2" applyNumberFormat="1" applyFont="1" applyFill="1" applyBorder="1" applyAlignment="1"/>
    <xf numFmtId="3" fontId="6" fillId="4" borderId="36" xfId="2" applyNumberFormat="1" applyFont="1" applyFill="1" applyBorder="1" applyAlignment="1"/>
    <xf numFmtId="3" fontId="22" fillId="4" borderId="36" xfId="2" applyNumberFormat="1" applyFont="1" applyFill="1" applyBorder="1" applyAlignment="1"/>
    <xf numFmtId="3" fontId="46" fillId="6" borderId="36" xfId="2" applyNumberFormat="1" applyFont="1" applyFill="1" applyBorder="1" applyAlignment="1"/>
    <xf numFmtId="3" fontId="22" fillId="6" borderId="40" xfId="2" applyNumberFormat="1" applyFont="1" applyFill="1" applyBorder="1" applyAlignment="1"/>
    <xf numFmtId="164" fontId="22" fillId="6" borderId="45" xfId="2" applyNumberFormat="1" applyFont="1" applyFill="1" applyBorder="1" applyAlignment="1"/>
    <xf numFmtId="164" fontId="22" fillId="6" borderId="36" xfId="2" applyNumberFormat="1" applyFont="1" applyFill="1" applyBorder="1" applyAlignment="1"/>
    <xf numFmtId="164" fontId="22" fillId="6" borderId="59" xfId="2" applyNumberFormat="1" applyFont="1" applyFill="1" applyBorder="1" applyAlignment="1"/>
    <xf numFmtId="0" fontId="6" fillId="3" borderId="1" xfId="2" applyNumberFormat="1" applyFont="1" applyFill="1" applyBorder="1" applyAlignment="1">
      <alignment horizontal="right"/>
    </xf>
    <xf numFmtId="3" fontId="22" fillId="4" borderId="8" xfId="2" applyNumberFormat="1" applyFont="1" applyFill="1" applyBorder="1" applyAlignment="1"/>
    <xf numFmtId="3" fontId="22" fillId="6" borderId="8" xfId="2" applyNumberFormat="1" applyFont="1" applyFill="1" applyBorder="1" applyAlignment="1"/>
    <xf numFmtId="3" fontId="22" fillId="6" borderId="35" xfId="2" applyNumberFormat="1" applyFont="1" applyFill="1" applyBorder="1" applyAlignment="1"/>
    <xf numFmtId="164" fontId="22" fillId="6" borderId="8" xfId="2" applyNumberFormat="1" applyFont="1" applyFill="1" applyBorder="1" applyAlignment="1"/>
    <xf numFmtId="164" fontId="22" fillId="6" borderId="3" xfId="2" applyNumberFormat="1" applyFont="1" applyFill="1" applyBorder="1" applyAlignment="1"/>
    <xf numFmtId="0" fontId="10" fillId="3" borderId="16" xfId="2" applyNumberFormat="1" applyFont="1" applyFill="1" applyBorder="1" applyAlignment="1">
      <alignment horizontal="right"/>
    </xf>
    <xf numFmtId="3" fontId="10" fillId="4" borderId="70" xfId="2" applyNumberFormat="1" applyFont="1" applyFill="1" applyBorder="1" applyAlignment="1"/>
    <xf numFmtId="3" fontId="26" fillId="4" borderId="70" xfId="2" applyNumberFormat="1" applyFont="1" applyFill="1" applyBorder="1" applyAlignment="1"/>
    <xf numFmtId="3" fontId="10" fillId="4" borderId="50" xfId="2" applyNumberFormat="1" applyFont="1" applyFill="1" applyBorder="1" applyAlignment="1"/>
    <xf numFmtId="164" fontId="10" fillId="4" borderId="70" xfId="2" applyNumberFormat="1" applyFont="1" applyFill="1" applyBorder="1" applyAlignment="1"/>
    <xf numFmtId="164" fontId="10" fillId="4" borderId="17" xfId="2" applyNumberFormat="1" applyFont="1" applyFill="1" applyBorder="1" applyAlignment="1"/>
    <xf numFmtId="0" fontId="26" fillId="3" borderId="46" xfId="2" applyNumberFormat="1" applyFont="1" applyFill="1" applyBorder="1" applyAlignment="1">
      <alignment horizontal="center" wrapText="1"/>
    </xf>
    <xf numFmtId="0" fontId="25" fillId="3" borderId="12" xfId="2" applyNumberFormat="1" applyFont="1" applyFill="1" applyBorder="1" applyAlignment="1"/>
    <xf numFmtId="0" fontId="27" fillId="3" borderId="35" xfId="2" applyNumberFormat="1" applyFont="1" applyFill="1" applyBorder="1" applyAlignment="1">
      <alignment horizontal="center"/>
    </xf>
    <xf numFmtId="0" fontId="27" fillId="3" borderId="47" xfId="2" applyNumberFormat="1" applyFont="1" applyFill="1" applyBorder="1" applyAlignment="1">
      <alignment horizontal="center"/>
    </xf>
    <xf numFmtId="0" fontId="27" fillId="3" borderId="8" xfId="2" applyNumberFormat="1" applyFont="1" applyFill="1" applyBorder="1" applyAlignment="1"/>
    <xf numFmtId="0" fontId="22" fillId="3" borderId="54" xfId="2" applyNumberFormat="1" applyFont="1" applyFill="1" applyBorder="1" applyAlignment="1">
      <alignment horizontal="right"/>
    </xf>
    <xf numFmtId="3" fontId="22" fillId="4" borderId="57" xfId="2" applyNumberFormat="1" applyFont="1" applyFill="1" applyBorder="1" applyAlignment="1"/>
    <xf numFmtId="0" fontId="22" fillId="4" borderId="40" xfId="2" applyNumberFormat="1" applyFont="1" applyFill="1" applyBorder="1" applyAlignment="1"/>
    <xf numFmtId="164" fontId="22" fillId="4" borderId="57" xfId="2" applyNumberFormat="1" applyFont="1" applyFill="1" applyBorder="1" applyAlignment="1"/>
    <xf numFmtId="0" fontId="22" fillId="3" borderId="15" xfId="2" applyNumberFormat="1" applyFont="1" applyFill="1" applyBorder="1" applyAlignment="1">
      <alignment horizontal="right"/>
    </xf>
    <xf numFmtId="0" fontId="22" fillId="4" borderId="14" xfId="2" applyNumberFormat="1" applyFont="1" applyFill="1" applyBorder="1" applyAlignment="1"/>
    <xf numFmtId="3" fontId="22" fillId="6" borderId="45" xfId="2" applyNumberFormat="1" applyFont="1" applyFill="1" applyBorder="1" applyAlignment="1"/>
    <xf numFmtId="0" fontId="22" fillId="6" borderId="14" xfId="2" applyNumberFormat="1" applyFont="1" applyFill="1" applyBorder="1" applyAlignment="1"/>
    <xf numFmtId="164" fontId="22" fillId="6" borderId="41" xfId="2" applyNumberFormat="1" applyFont="1" applyFill="1" applyBorder="1" applyAlignment="1"/>
    <xf numFmtId="1" fontId="22" fillId="6" borderId="45" xfId="2" applyNumberFormat="1" applyFont="1" applyFill="1" applyBorder="1" applyAlignment="1"/>
    <xf numFmtId="1" fontId="22" fillId="6" borderId="13" xfId="2" applyNumberFormat="1" applyFont="1" applyFill="1" applyBorder="1" applyAlignment="1"/>
    <xf numFmtId="164" fontId="22" fillId="6" borderId="55" xfId="2" applyNumberFormat="1" applyFont="1" applyFill="1" applyBorder="1" applyAlignment="1"/>
    <xf numFmtId="3" fontId="22" fillId="4" borderId="45" xfId="2" applyNumberFormat="1" applyFont="1" applyFill="1" applyBorder="1" applyAlignment="1"/>
    <xf numFmtId="164" fontId="22" fillId="4" borderId="45" xfId="2" applyNumberFormat="1" applyFont="1" applyFill="1" applyBorder="1" applyAlignment="1"/>
    <xf numFmtId="0" fontId="22" fillId="3" borderId="53" xfId="2" applyNumberFormat="1" applyFont="1" applyFill="1" applyBorder="1" applyAlignment="1">
      <alignment horizontal="right"/>
    </xf>
    <xf numFmtId="0" fontId="22" fillId="6" borderId="35" xfId="2" applyNumberFormat="1" applyFont="1" applyFill="1" applyBorder="1" applyAlignment="1"/>
    <xf numFmtId="164" fontId="22" fillId="4" borderId="12" xfId="2" applyNumberFormat="1" applyFont="1" applyFill="1" applyBorder="1" applyAlignment="1"/>
    <xf numFmtId="0" fontId="10" fillId="3" borderId="53" xfId="2" applyNumberFormat="1" applyFont="1" applyFill="1" applyBorder="1" applyAlignment="1">
      <alignment horizontal="right"/>
    </xf>
    <xf numFmtId="3" fontId="26" fillId="4" borderId="9" xfId="2" applyNumberFormat="1" applyFont="1" applyFill="1" applyBorder="1" applyAlignment="1"/>
    <xf numFmtId="165" fontId="26" fillId="4" borderId="9" xfId="2" applyNumberFormat="1" applyFont="1" applyFill="1" applyBorder="1" applyAlignment="1"/>
    <xf numFmtId="0" fontId="10" fillId="3" borderId="0" xfId="2" applyNumberFormat="1" applyFont="1" applyFill="1" applyBorder="1" applyAlignment="1">
      <alignment horizontal="right"/>
    </xf>
    <xf numFmtId="0" fontId="26" fillId="3" borderId="22" xfId="2" applyNumberFormat="1" applyFont="1" applyFill="1" applyBorder="1" applyAlignment="1">
      <alignment horizontal="right"/>
    </xf>
    <xf numFmtId="3" fontId="6" fillId="5" borderId="36" xfId="4" applyNumberFormat="1" applyFont="1" applyFill="1" applyBorder="1" applyAlignment="1">
      <protection locked="0"/>
    </xf>
    <xf numFmtId="3" fontId="6" fillId="5" borderId="13" xfId="4" applyNumberFormat="1" applyFont="1" applyFill="1" applyBorder="1" applyAlignment="1">
      <protection locked="0"/>
    </xf>
    <xf numFmtId="3" fontId="6" fillId="5" borderId="8" xfId="4" applyNumberFormat="1" applyFont="1" applyFill="1" applyBorder="1" applyAlignment="1">
      <protection locked="0"/>
    </xf>
    <xf numFmtId="3" fontId="22" fillId="5" borderId="45" xfId="4" applyNumberFormat="1" applyFont="1" applyFill="1" applyBorder="1" applyAlignment="1">
      <protection locked="0"/>
    </xf>
    <xf numFmtId="3" fontId="22" fillId="5" borderId="47" xfId="4" applyNumberFormat="1" applyFont="1" applyFill="1" applyBorder="1" applyAlignment="1">
      <protection locked="0"/>
    </xf>
    <xf numFmtId="0" fontId="26" fillId="3" borderId="33" xfId="2" applyNumberFormat="1" applyFont="1" applyFill="1" applyBorder="1" applyAlignment="1"/>
    <xf numFmtId="0" fontId="0" fillId="3" borderId="52" xfId="2" applyNumberFormat="1" applyFont="1" applyFill="1" applyBorder="1" applyAlignment="1"/>
    <xf numFmtId="0" fontId="26" fillId="3" borderId="33" xfId="2" applyNumberFormat="1" applyFont="1" applyFill="1" applyBorder="1" applyAlignment="1">
      <alignment horizontal="left"/>
    </xf>
    <xf numFmtId="0" fontId="26" fillId="3" borderId="0" xfId="2" applyNumberFormat="1" applyFont="1" applyFill="1" applyBorder="1" applyAlignment="1">
      <alignment horizontal="left"/>
    </xf>
    <xf numFmtId="0" fontId="28" fillId="3" borderId="0" xfId="2" applyNumberFormat="1" applyFont="1" applyFill="1" applyBorder="1" applyAlignment="1">
      <alignment horizontal="left"/>
    </xf>
    <xf numFmtId="0" fontId="26" fillId="3" borderId="44" xfId="2" applyNumberFormat="1" applyFont="1" applyFill="1" applyBorder="1" applyAlignment="1"/>
    <xf numFmtId="0" fontId="26" fillId="3" borderId="56" xfId="2" applyNumberFormat="1" applyFont="1" applyFill="1" applyBorder="1" applyAlignment="1"/>
    <xf numFmtId="0" fontId="26" fillId="3" borderId="56" xfId="2" applyNumberFormat="1" applyFont="1" applyFill="1" applyBorder="1" applyAlignment="1">
      <alignment wrapText="1"/>
    </xf>
    <xf numFmtId="0" fontId="26" fillId="3" borderId="50" xfId="2" applyNumberFormat="1" applyFont="1" applyFill="1" applyBorder="1" applyAlignment="1">
      <alignment wrapText="1"/>
    </xf>
    <xf numFmtId="0" fontId="22" fillId="3" borderId="23" xfId="2" applyNumberFormat="1" applyFont="1" applyFill="1" applyBorder="1" applyAlignment="1"/>
    <xf numFmtId="0" fontId="22" fillId="3" borderId="48" xfId="2" applyNumberFormat="1" applyFont="1" applyFill="1" applyBorder="1" applyAlignment="1"/>
    <xf numFmtId="0" fontId="22" fillId="4" borderId="5" xfId="2" applyNumberFormat="1" applyFont="1" applyFill="1" applyBorder="1" applyAlignment="1">
      <alignment horizontal="center"/>
    </xf>
    <xf numFmtId="2" fontId="6" fillId="4" borderId="63" xfId="2" applyNumberFormat="1" applyFont="1" applyFill="1" applyBorder="1" applyAlignment="1">
      <alignment horizontal="center"/>
    </xf>
    <xf numFmtId="0" fontId="26" fillId="3" borderId="0" xfId="2" applyNumberFormat="1" applyFont="1" applyFill="1" applyBorder="1" applyAlignment="1">
      <alignment horizontal="right"/>
    </xf>
    <xf numFmtId="3" fontId="0" fillId="4" borderId="13" xfId="2" applyNumberFormat="1" applyFont="1" applyFill="1" applyBorder="1" applyAlignment="1">
      <alignment horizontal="center"/>
    </xf>
    <xf numFmtId="0" fontId="26" fillId="3" borderId="0" xfId="2" applyNumberFormat="1" applyFont="1" applyFill="1" applyBorder="1" applyAlignment="1">
      <alignment horizontal="center" vertical="top" wrapText="1"/>
    </xf>
    <xf numFmtId="0" fontId="0" fillId="4" borderId="58" xfId="2" applyNumberFormat="1" applyFont="1" applyFill="1" applyBorder="1" applyAlignment="1">
      <alignment horizontal="left"/>
    </xf>
    <xf numFmtId="0" fontId="0" fillId="4" borderId="45" xfId="2" applyNumberFormat="1" applyFont="1" applyFill="1" applyBorder="1" applyAlignment="1">
      <alignment horizontal="left"/>
    </xf>
    <xf numFmtId="0" fontId="26" fillId="3" borderId="0" xfId="2" applyNumberFormat="1" applyFont="1" applyFill="1" applyBorder="1" applyAlignment="1">
      <alignment horizontal="center"/>
    </xf>
    <xf numFmtId="0" fontId="26" fillId="3" borderId="53" xfId="2" applyNumberFormat="1" applyFont="1" applyFill="1" applyBorder="1" applyAlignment="1">
      <alignment horizontal="center"/>
    </xf>
    <xf numFmtId="0" fontId="22" fillId="3" borderId="2" xfId="2" applyNumberFormat="1" applyFont="1" applyFill="1" applyBorder="1" applyAlignment="1"/>
    <xf numFmtId="0" fontId="22" fillId="3" borderId="10" xfId="2" applyNumberFormat="1" applyFont="1" applyFill="1" applyBorder="1" applyAlignment="1"/>
    <xf numFmtId="0" fontId="22" fillId="4" borderId="8" xfId="2" applyNumberFormat="1" applyFont="1" applyFill="1" applyBorder="1" applyAlignment="1">
      <alignment horizontal="center"/>
    </xf>
    <xf numFmtId="2" fontId="6" fillId="4" borderId="49" xfId="2" applyNumberFormat="1" applyFont="1" applyFill="1" applyBorder="1" applyAlignment="1">
      <alignment horizontal="center"/>
    </xf>
    <xf numFmtId="3" fontId="6" fillId="4" borderId="13" xfId="2" applyNumberFormat="1" applyFont="1" applyFill="1" applyBorder="1" applyAlignment="1">
      <alignment horizontal="center"/>
    </xf>
    <xf numFmtId="2" fontId="6" fillId="3" borderId="7" xfId="2" applyNumberFormat="1" applyFont="1" applyFill="1" applyBorder="1" applyAlignment="1">
      <alignment horizontal="center"/>
    </xf>
    <xf numFmtId="0" fontId="0" fillId="3" borderId="22" xfId="2" applyNumberFormat="1" applyFont="1" applyFill="1" applyBorder="1" applyAlignment="1"/>
    <xf numFmtId="0" fontId="10" fillId="3" borderId="17" xfId="2" applyNumberFormat="1" applyFont="1" applyFill="1" applyBorder="1" applyAlignment="1">
      <alignment horizontal="center"/>
    </xf>
    <xf numFmtId="0" fontId="10" fillId="3" borderId="50" xfId="2" applyNumberFormat="1" applyFont="1" applyFill="1" applyBorder="1" applyAlignment="1">
      <alignment horizontal="center"/>
    </xf>
    <xf numFmtId="0" fontId="22" fillId="3" borderId="44" xfId="2" applyNumberFormat="1" applyFont="1" applyFill="1" applyBorder="1" applyAlignment="1">
      <alignment horizontal="right"/>
    </xf>
    <xf numFmtId="0" fontId="26" fillId="3" borderId="21" xfId="2" applyNumberFormat="1" applyFont="1" applyFill="1" applyBorder="1" applyAlignment="1">
      <alignment horizontal="right"/>
    </xf>
    <xf numFmtId="164" fontId="26" fillId="4" borderId="34" xfId="2" applyNumberFormat="1" applyFont="1" applyFill="1" applyBorder="1" applyAlignment="1"/>
    <xf numFmtId="164" fontId="26" fillId="4" borderId="40" xfId="2" applyNumberFormat="1" applyFont="1" applyFill="1" applyBorder="1" applyAlignment="1"/>
    <xf numFmtId="0" fontId="6" fillId="3" borderId="44" xfId="2" applyNumberFormat="1" applyFont="1" applyFill="1" applyBorder="1" applyAlignment="1">
      <alignment horizontal="right"/>
    </xf>
    <xf numFmtId="164" fontId="26" fillId="4" borderId="13" xfId="2" applyNumberFormat="1" applyFont="1" applyFill="1" applyBorder="1" applyAlignment="1"/>
    <xf numFmtId="0" fontId="26" fillId="3" borderId="1" xfId="2" applyNumberFormat="1" applyFont="1" applyFill="1" applyBorder="1" applyAlignment="1">
      <alignment horizontal="right"/>
    </xf>
    <xf numFmtId="164" fontId="26" fillId="4" borderId="8" xfId="2" applyNumberFormat="1" applyFont="1" applyFill="1" applyBorder="1" applyAlignment="1"/>
    <xf numFmtId="164" fontId="26" fillId="4" borderId="35" xfId="2" applyNumberFormat="1" applyFont="1" applyFill="1" applyBorder="1" applyAlignment="1"/>
    <xf numFmtId="164" fontId="26" fillId="4" borderId="29" xfId="2" applyNumberFormat="1" applyFont="1" applyFill="1" applyBorder="1" applyAlignment="1"/>
    <xf numFmtId="0" fontId="0" fillId="3" borderId="57" xfId="2" applyNumberFormat="1" applyFont="1" applyFill="1" applyBorder="1" applyAlignment="1">
      <alignment horizontal="right"/>
    </xf>
    <xf numFmtId="0" fontId="23" fillId="11" borderId="0" xfId="2" applyNumberFormat="1" applyFont="1" applyFill="1" applyBorder="1" applyAlignment="1"/>
    <xf numFmtId="0" fontId="34" fillId="11" borderId="0" xfId="2" applyNumberFormat="1" applyFont="1" applyFill="1" applyBorder="1" applyAlignment="1"/>
    <xf numFmtId="0" fontId="23" fillId="22" borderId="0" xfId="2" applyNumberFormat="1" applyFont="1" applyFill="1" applyBorder="1" applyAlignment="1"/>
    <xf numFmtId="0" fontId="23" fillId="17" borderId="0" xfId="2" applyNumberFormat="1" applyFont="1" applyFill="1" applyBorder="1" applyAlignment="1"/>
    <xf numFmtId="0" fontId="22" fillId="13" borderId="0" xfId="2" applyNumberFormat="1" applyFont="1" applyFill="1" applyBorder="1" applyAlignment="1">
      <alignment horizontal="left"/>
    </xf>
    <xf numFmtId="0" fontId="22" fillId="13" borderId="0" xfId="2" applyNumberFormat="1" applyFont="1" applyFill="1" applyBorder="1" applyAlignment="1">
      <alignment horizontal="right"/>
    </xf>
    <xf numFmtId="0" fontId="22" fillId="15" borderId="0" xfId="2" applyNumberFormat="1" applyFont="1" applyFill="1" applyBorder="1" applyAlignment="1"/>
    <xf numFmtId="0" fontId="0" fillId="11" borderId="0" xfId="2" applyNumberFormat="1" applyFont="1" applyFill="1" applyBorder="1" applyAlignment="1"/>
    <xf numFmtId="0" fontId="30" fillId="16" borderId="0" xfId="2" applyNumberFormat="1" applyFont="1" applyFill="1" applyBorder="1" applyAlignment="1"/>
    <xf numFmtId="0" fontId="22" fillId="16" borderId="0" xfId="2" applyNumberFormat="1" applyFont="1" applyFill="1" applyBorder="1" applyAlignment="1"/>
    <xf numFmtId="0" fontId="22" fillId="11" borderId="0" xfId="2" applyNumberFormat="1" applyFont="1" applyFill="1" applyBorder="1" applyAlignment="1"/>
    <xf numFmtId="0" fontId="22" fillId="11" borderId="7" xfId="2" applyNumberFormat="1" applyFont="1" applyFill="1" applyBorder="1" applyAlignment="1"/>
    <xf numFmtId="0" fontId="30" fillId="18" borderId="0" xfId="2" applyNumberFormat="1" applyFont="1" applyFill="1" applyBorder="1" applyAlignment="1"/>
    <xf numFmtId="0" fontId="30" fillId="19" borderId="0" xfId="2" applyNumberFormat="1" applyFont="1" applyFill="1" applyBorder="1" applyAlignment="1"/>
    <xf numFmtId="0" fontId="6" fillId="14" borderId="0" xfId="2" applyNumberFormat="1" applyFont="1" applyFill="1" applyBorder="1" applyAlignment="1"/>
    <xf numFmtId="0" fontId="26" fillId="3" borderId="30" xfId="2" applyNumberFormat="1" applyFont="1" applyFill="1" applyBorder="1" applyAlignment="1"/>
    <xf numFmtId="0" fontId="22" fillId="3" borderId="50" xfId="2" applyNumberFormat="1" applyFont="1" applyFill="1" applyBorder="1" applyAlignment="1">
      <alignment horizontal="center"/>
    </xf>
    <xf numFmtId="0" fontId="0" fillId="3" borderId="17" xfId="2" applyNumberFormat="1" applyFont="1" applyFill="1" applyBorder="1" applyAlignment="1"/>
    <xf numFmtId="0" fontId="22" fillId="4" borderId="17" xfId="2" applyNumberFormat="1" applyFont="1" applyFill="1" applyBorder="1" applyAlignment="1">
      <alignment horizontal="center"/>
    </xf>
    <xf numFmtId="0" fontId="26" fillId="3" borderId="22" xfId="2" applyNumberFormat="1" applyFont="1" applyFill="1" applyBorder="1" applyAlignment="1">
      <alignment vertical="top"/>
    </xf>
    <xf numFmtId="0" fontId="26" fillId="3" borderId="17" xfId="2" applyNumberFormat="1" applyFont="1" applyFill="1" applyBorder="1" applyAlignment="1">
      <alignment horizontal="center" vertical="top" wrapText="1"/>
    </xf>
    <xf numFmtId="0" fontId="26" fillId="3" borderId="50" xfId="2" applyNumberFormat="1" applyFont="1" applyFill="1" applyBorder="1" applyAlignment="1">
      <alignment horizontal="center" vertical="top" wrapText="1"/>
    </xf>
    <xf numFmtId="0" fontId="26" fillId="3" borderId="37" xfId="2" applyNumberFormat="1" applyFont="1" applyFill="1" applyBorder="1" applyAlignment="1">
      <alignment horizontal="center" vertical="top" wrapText="1"/>
    </xf>
    <xf numFmtId="0" fontId="26" fillId="3" borderId="70" xfId="2" applyNumberFormat="1" applyFont="1" applyFill="1" applyBorder="1" applyAlignment="1">
      <alignment horizontal="center" vertical="top" wrapText="1"/>
    </xf>
    <xf numFmtId="0" fontId="10" fillId="3" borderId="17" xfId="2" applyNumberFormat="1" applyFont="1" applyFill="1" applyBorder="1" applyAlignment="1">
      <alignment horizontal="center" vertical="top" wrapText="1"/>
    </xf>
    <xf numFmtId="0" fontId="26" fillId="3" borderId="10" xfId="2" applyNumberFormat="1" applyFont="1" applyFill="1" applyBorder="1" applyAlignment="1">
      <alignment horizontal="center" vertical="top" wrapText="1"/>
    </xf>
    <xf numFmtId="0" fontId="26" fillId="3" borderId="9" xfId="2" applyNumberFormat="1" applyFont="1" applyFill="1" applyBorder="1" applyAlignment="1">
      <alignment horizontal="center" vertical="top" wrapText="1"/>
    </xf>
    <xf numFmtId="0" fontId="10" fillId="3" borderId="9" xfId="2" applyNumberFormat="1" applyFont="1" applyFill="1" applyBorder="1" applyAlignment="1">
      <alignment horizontal="center" vertical="top" wrapText="1"/>
    </xf>
    <xf numFmtId="0" fontId="26" fillId="3" borderId="49" xfId="2" applyNumberFormat="1" applyFont="1" applyFill="1" applyBorder="1" applyAlignment="1">
      <alignment horizontal="center" vertical="top" wrapText="1"/>
    </xf>
    <xf numFmtId="0" fontId="26" fillId="3" borderId="53" xfId="2" applyNumberFormat="1" applyFont="1" applyFill="1" applyBorder="1" applyAlignment="1"/>
    <xf numFmtId="0" fontId="26" fillId="3" borderId="9" xfId="2" applyNumberFormat="1" applyFont="1" applyFill="1" applyBorder="1" applyAlignment="1">
      <alignment horizontal="center"/>
    </xf>
    <xf numFmtId="0" fontId="26" fillId="3" borderId="49" xfId="2" applyNumberFormat="1" applyFont="1" applyFill="1" applyBorder="1" applyAlignment="1">
      <alignment horizontal="center"/>
    </xf>
    <xf numFmtId="0" fontId="26" fillId="3" borderId="4" xfId="2" applyNumberFormat="1" applyFont="1" applyFill="1" applyBorder="1" applyAlignment="1">
      <alignment horizontal="center"/>
    </xf>
    <xf numFmtId="0" fontId="26" fillId="3" borderId="10" xfId="2" applyNumberFormat="1" applyFont="1" applyFill="1" applyBorder="1" applyAlignment="1">
      <alignment horizontal="center"/>
    </xf>
    <xf numFmtId="0" fontId="26" fillId="3" borderId="16" xfId="2" applyNumberFormat="1" applyFont="1" applyFill="1" applyBorder="1" applyAlignment="1">
      <alignment horizontal="center"/>
    </xf>
    <xf numFmtId="0" fontId="26" fillId="3" borderId="10" xfId="2" applyNumberFormat="1" applyFont="1" applyFill="1" applyBorder="1" applyAlignment="1">
      <alignment horizontal="center" vertical="top"/>
    </xf>
    <xf numFmtId="0" fontId="26" fillId="3" borderId="2" xfId="2" applyNumberFormat="1" applyFont="1" applyFill="1" applyBorder="1" applyAlignment="1">
      <alignment horizontal="center" vertical="top"/>
    </xf>
    <xf numFmtId="0" fontId="26" fillId="3" borderId="9" xfId="2" applyNumberFormat="1" applyFont="1" applyFill="1" applyBorder="1" applyAlignment="1">
      <alignment horizontal="center" vertical="top"/>
    </xf>
    <xf numFmtId="0" fontId="26" fillId="3" borderId="49" xfId="2" applyNumberFormat="1" applyFont="1" applyFill="1" applyBorder="1" applyAlignment="1">
      <alignment horizontal="center" vertical="top"/>
    </xf>
    <xf numFmtId="0" fontId="26" fillId="3" borderId="70" xfId="2" applyNumberFormat="1" applyFont="1" applyFill="1" applyBorder="1" applyAlignment="1">
      <alignment horizontal="center"/>
    </xf>
    <xf numFmtId="0" fontId="26" fillId="3" borderId="17" xfId="2" applyNumberFormat="1" applyFont="1" applyFill="1" applyBorder="1" applyAlignment="1">
      <alignment horizontal="center"/>
    </xf>
    <xf numFmtId="0" fontId="26" fillId="3" borderId="50" xfId="2" applyNumberFormat="1" applyFont="1" applyFill="1" applyBorder="1" applyAlignment="1">
      <alignment horizontal="center"/>
    </xf>
    <xf numFmtId="3" fontId="22" fillId="4" borderId="51" xfId="2" applyNumberFormat="1" applyFont="1" applyFill="1" applyBorder="1" applyAlignment="1"/>
    <xf numFmtId="3" fontId="0" fillId="4" borderId="62" xfId="2" applyNumberFormat="1" applyFont="1" applyFill="1" applyBorder="1" applyAlignment="1"/>
    <xf numFmtId="3" fontId="22" fillId="4" borderId="39" xfId="2" applyNumberFormat="1" applyFont="1" applyFill="1" applyBorder="1" applyAlignment="1">
      <alignment horizontal="right"/>
    </xf>
    <xf numFmtId="3" fontId="22" fillId="4" borderId="57" xfId="2" applyNumberFormat="1" applyFont="1" applyFill="1" applyBorder="1" applyAlignment="1">
      <alignment horizontal="right"/>
    </xf>
    <xf numFmtId="3" fontId="22" fillId="4" borderId="66" xfId="2" applyNumberFormat="1" applyFont="1" applyFill="1" applyBorder="1" applyAlignment="1"/>
    <xf numFmtId="3" fontId="0" fillId="4" borderId="13" xfId="2" applyNumberFormat="1" applyFont="1" applyFill="1" applyBorder="1" applyAlignment="1"/>
    <xf numFmtId="3" fontId="22" fillId="4" borderId="40" xfId="2" applyNumberFormat="1" applyFont="1" applyFill="1" applyBorder="1" applyAlignment="1"/>
    <xf numFmtId="3" fontId="22" fillId="7" borderId="51" xfId="2" applyNumberFormat="1" applyFont="1" applyFill="1" applyBorder="1" applyAlignment="1"/>
    <xf numFmtId="3" fontId="0" fillId="7" borderId="34" xfId="2" applyNumberFormat="1" applyFont="1" applyFill="1" applyBorder="1" applyAlignment="1"/>
    <xf numFmtId="3" fontId="22" fillId="7" borderId="39" xfId="2" applyNumberFormat="1" applyFont="1" applyFill="1" applyBorder="1" applyAlignment="1"/>
    <xf numFmtId="3" fontId="22" fillId="7" borderId="49" xfId="2" applyNumberFormat="1" applyFont="1" applyFill="1" applyBorder="1" applyAlignment="1"/>
    <xf numFmtId="3" fontId="22" fillId="7" borderId="45" xfId="2" applyNumberFormat="1" applyFont="1" applyFill="1" applyBorder="1" applyAlignment="1"/>
    <xf numFmtId="3" fontId="22" fillId="7" borderId="34" xfId="2" applyNumberFormat="1" applyFont="1" applyFill="1" applyBorder="1" applyAlignment="1"/>
    <xf numFmtId="3" fontId="22" fillId="7" borderId="8" xfId="2" applyNumberFormat="1" applyFont="1" applyFill="1" applyBorder="1" applyAlignment="1"/>
    <xf numFmtId="3" fontId="22" fillId="7" borderId="40" xfId="2" applyNumberFormat="1" applyFont="1" applyFill="1" applyBorder="1" applyAlignment="1"/>
    <xf numFmtId="3" fontId="26" fillId="7" borderId="17" xfId="2" applyNumberFormat="1" applyFont="1" applyFill="1" applyBorder="1" applyAlignment="1"/>
    <xf numFmtId="3" fontId="26" fillId="7" borderId="50" xfId="2" applyNumberFormat="1" applyFont="1" applyFill="1" applyBorder="1" applyAlignment="1"/>
    <xf numFmtId="3" fontId="26" fillId="7" borderId="70" xfId="2" applyNumberFormat="1" applyFont="1" applyFill="1" applyBorder="1" applyAlignment="1"/>
    <xf numFmtId="3" fontId="26" fillId="7" borderId="37" xfId="2" applyNumberFormat="1" applyFont="1" applyFill="1" applyBorder="1" applyAlignment="1"/>
    <xf numFmtId="3" fontId="26" fillId="7" borderId="9" xfId="2" applyNumberFormat="1" applyFont="1" applyFill="1" applyBorder="1" applyAlignment="1"/>
    <xf numFmtId="3" fontId="26" fillId="4" borderId="17" xfId="2" applyNumberFormat="1" applyFont="1" applyFill="1" applyBorder="1" applyAlignment="1"/>
    <xf numFmtId="3" fontId="26" fillId="4" borderId="50" xfId="2" applyNumberFormat="1" applyFont="1" applyFill="1" applyBorder="1" applyAlignment="1"/>
    <xf numFmtId="0" fontId="22" fillId="3" borderId="30" xfId="2" applyNumberFormat="1" applyFont="1" applyFill="1" applyBorder="1" applyAlignment="1"/>
    <xf numFmtId="0" fontId="26" fillId="3" borderId="6" xfId="2" applyNumberFormat="1" applyFont="1" applyFill="1" applyBorder="1" applyAlignment="1"/>
    <xf numFmtId="49" fontId="22" fillId="5" borderId="13" xfId="4" applyNumberFormat="1" applyFont="1" applyFill="1" applyBorder="1" applyAlignment="1">
      <protection locked="0"/>
    </xf>
    <xf numFmtId="0" fontId="22" fillId="5" borderId="13" xfId="4" applyNumberFormat="1" applyFont="1" applyFill="1" applyBorder="1" applyAlignment="1">
      <protection locked="0"/>
    </xf>
    <xf numFmtId="0" fontId="22" fillId="0" borderId="13" xfId="4" applyNumberFormat="1" applyFont="1" applyFill="1" applyBorder="1" applyAlignment="1">
      <protection locked="0"/>
    </xf>
    <xf numFmtId="164" fontId="22" fillId="5" borderId="5" xfId="4" applyNumberFormat="1" applyFont="1" applyFill="1" applyBorder="1" applyAlignment="1">
      <alignment horizontal="center"/>
      <protection locked="0"/>
    </xf>
    <xf numFmtId="164" fontId="22" fillId="5" borderId="8" xfId="4" applyNumberFormat="1" applyFont="1" applyFill="1" applyBorder="1" applyAlignment="1">
      <alignment horizontal="center"/>
      <protection locked="0"/>
    </xf>
    <xf numFmtId="0" fontId="22" fillId="5" borderId="62" xfId="4" applyNumberFormat="1" applyFont="1" applyFill="1" applyBorder="1" applyAlignment="1">
      <alignment horizontal="center"/>
      <protection locked="0"/>
    </xf>
    <xf numFmtId="0" fontId="22" fillId="5" borderId="66" xfId="4" applyNumberFormat="1" applyFont="1" applyFill="1" applyBorder="1" applyAlignment="1">
      <alignment horizontal="center"/>
      <protection locked="0"/>
    </xf>
    <xf numFmtId="0" fontId="22" fillId="5" borderId="48" xfId="4" applyNumberFormat="1" applyFont="1" applyFill="1" applyBorder="1" applyAlignment="1">
      <alignment horizontal="center"/>
      <protection locked="0"/>
    </xf>
    <xf numFmtId="0" fontId="0" fillId="0" borderId="17" xfId="4" applyNumberFormat="1" applyFont="1" applyFill="1" applyBorder="1" applyAlignment="1">
      <protection locked="0"/>
    </xf>
    <xf numFmtId="0" fontId="22" fillId="5" borderId="17" xfId="4" applyNumberFormat="1" applyFont="1" applyFill="1" applyBorder="1" applyAlignment="1">
      <alignment horizontal="center"/>
      <protection locked="0"/>
    </xf>
    <xf numFmtId="0" fontId="22" fillId="5" borderId="37" xfId="4" applyNumberFormat="1" applyFont="1" applyFill="1" applyBorder="1" applyAlignment="1">
      <alignment horizontal="center"/>
      <protection locked="0"/>
    </xf>
    <xf numFmtId="0" fontId="22" fillId="5" borderId="23" xfId="4" applyNumberFormat="1" applyFont="1" applyFill="1" applyBorder="1" applyAlignment="1">
      <alignment horizontal="center"/>
      <protection locked="0"/>
    </xf>
    <xf numFmtId="0" fontId="22" fillId="5" borderId="70" xfId="4" applyNumberFormat="1" applyFont="1" applyFill="1" applyBorder="1" applyAlignment="1">
      <alignment horizontal="center"/>
      <protection locked="0"/>
    </xf>
    <xf numFmtId="0" fontId="22" fillId="5" borderId="52" xfId="4" applyNumberFormat="1" applyFont="1" applyFill="1" applyBorder="1" applyAlignment="1">
      <alignment horizontal="center"/>
      <protection locked="0"/>
    </xf>
    <xf numFmtId="0" fontId="22" fillId="5" borderId="50" xfId="4" applyNumberFormat="1" applyFont="1" applyFill="1" applyBorder="1" applyAlignment="1">
      <alignment horizontal="center"/>
      <protection locked="0"/>
    </xf>
    <xf numFmtId="0" fontId="6" fillId="5" borderId="13" xfId="4" applyNumberFormat="1" applyFont="1" applyFill="1" applyBorder="1" applyAlignment="1">
      <alignment horizontal="center"/>
      <protection locked="0"/>
    </xf>
    <xf numFmtId="2" fontId="6" fillId="5" borderId="13" xfId="4" applyNumberFormat="1" applyFont="1" applyFill="1" applyBorder="1" applyAlignment="1">
      <alignment horizontal="center"/>
      <protection locked="0"/>
    </xf>
    <xf numFmtId="1" fontId="22" fillId="5" borderId="34" xfId="4" applyNumberFormat="1" applyFont="1" applyFill="1" applyBorder="1" applyAlignment="1">
      <protection locked="0"/>
    </xf>
    <xf numFmtId="3" fontId="22" fillId="5" borderId="34" xfId="4" applyNumberFormat="1" applyFont="1" applyFill="1" applyBorder="1" applyAlignment="1">
      <protection locked="0"/>
    </xf>
    <xf numFmtId="3" fontId="22" fillId="5" borderId="40" xfId="4" applyNumberFormat="1" applyFont="1" applyFill="1" applyBorder="1" applyAlignment="1">
      <protection locked="0"/>
    </xf>
    <xf numFmtId="3" fontId="22" fillId="5" borderId="27" xfId="4" applyNumberFormat="1" applyFont="1" applyFill="1" applyBorder="1" applyAlignment="1">
      <protection locked="0"/>
    </xf>
    <xf numFmtId="3" fontId="22" fillId="5" borderId="57" xfId="4" applyNumberFormat="1" applyFont="1" applyFill="1" applyBorder="1" applyAlignment="1">
      <protection locked="0"/>
    </xf>
    <xf numFmtId="3" fontId="22" fillId="5" borderId="39" xfId="4" applyNumberFormat="1" applyFont="1" applyFill="1" applyBorder="1" applyAlignment="1">
      <protection locked="0"/>
    </xf>
    <xf numFmtId="3" fontId="0" fillId="0" borderId="5" xfId="4" applyNumberFormat="1" applyFont="1" applyFill="1" applyBorder="1" applyAlignment="1">
      <protection locked="0"/>
    </xf>
    <xf numFmtId="3" fontId="22" fillId="5" borderId="26" xfId="4" applyNumberFormat="1" applyFont="1" applyFill="1" applyBorder="1" applyAlignment="1">
      <protection locked="0"/>
    </xf>
    <xf numFmtId="4" fontId="0" fillId="0" borderId="27" xfId="4" applyNumberFormat="1" applyFont="1" applyFill="1" applyBorder="1" applyAlignment="1">
      <protection locked="0"/>
    </xf>
    <xf numFmtId="3" fontId="22" fillId="5" borderId="63" xfId="4" applyNumberFormat="1" applyFont="1" applyFill="1" applyBorder="1" applyAlignment="1">
      <protection locked="0"/>
    </xf>
    <xf numFmtId="1" fontId="22" fillId="5" borderId="13" xfId="4" applyNumberFormat="1" applyFont="1" applyFill="1" applyBorder="1" applyAlignment="1">
      <protection locked="0"/>
    </xf>
    <xf numFmtId="3" fontId="22" fillId="5" borderId="31" xfId="4" applyNumberFormat="1" applyFont="1" applyFill="1" applyBorder="1" applyAlignment="1">
      <protection locked="0"/>
    </xf>
    <xf numFmtId="3" fontId="0" fillId="0" borderId="13" xfId="4" applyNumberFormat="1" applyFont="1" applyFill="1" applyBorder="1" applyAlignment="1">
      <protection locked="0"/>
    </xf>
    <xf numFmtId="3" fontId="22" fillId="5" borderId="64" xfId="4" applyNumberFormat="1" applyFont="1" applyFill="1" applyBorder="1" applyAlignment="1">
      <protection locked="0"/>
    </xf>
    <xf numFmtId="4" fontId="0" fillId="0" borderId="28" xfId="4" applyNumberFormat="1" applyFont="1" applyFill="1" applyBorder="1" applyAlignment="1">
      <protection locked="0"/>
    </xf>
    <xf numFmtId="3" fontId="22" fillId="5" borderId="14" xfId="4" applyNumberFormat="1" applyFont="1" applyFill="1" applyBorder="1" applyAlignment="1">
      <protection locked="0"/>
    </xf>
    <xf numFmtId="3" fontId="22" fillId="5" borderId="28" xfId="4" applyNumberFormat="1" applyFont="1" applyFill="1" applyBorder="1" applyAlignment="1">
      <protection locked="0"/>
    </xf>
    <xf numFmtId="3" fontId="22" fillId="5" borderId="13" xfId="4" applyNumberFormat="1" applyFont="1" applyFill="1" applyBorder="1" applyAlignment="1">
      <protection locked="0"/>
    </xf>
    <xf numFmtId="1" fontId="6" fillId="5" borderId="9" xfId="4" applyNumberFormat="1" applyFont="1" applyFill="1" applyBorder="1" applyAlignment="1">
      <protection locked="0"/>
    </xf>
    <xf numFmtId="3" fontId="6" fillId="5" borderId="56" xfId="4" applyNumberFormat="1" applyFont="1" applyFill="1" applyBorder="1" applyAlignment="1">
      <protection locked="0"/>
    </xf>
    <xf numFmtId="3" fontId="6" fillId="5" borderId="61" xfId="4" applyNumberFormat="1" applyFont="1" applyFill="1" applyBorder="1" applyAlignment="1">
      <protection locked="0"/>
    </xf>
    <xf numFmtId="3" fontId="6" fillId="5" borderId="7" xfId="4" applyNumberFormat="1" applyFont="1" applyFill="1" applyBorder="1" applyAlignment="1">
      <protection locked="0"/>
    </xf>
    <xf numFmtId="3" fontId="6" fillId="5" borderId="44" xfId="4" applyNumberFormat="1" applyFont="1" applyFill="1" applyBorder="1" applyAlignment="1">
      <protection locked="0"/>
    </xf>
    <xf numFmtId="3" fontId="22" fillId="5" borderId="55" xfId="4" applyNumberFormat="1" applyFont="1" applyFill="1" applyBorder="1" applyAlignment="1">
      <protection locked="0"/>
    </xf>
    <xf numFmtId="3" fontId="30" fillId="5" borderId="3" xfId="4" applyNumberFormat="1" applyFont="1" applyFill="1" applyBorder="1" applyAlignment="1">
      <protection locked="0"/>
    </xf>
    <xf numFmtId="3" fontId="30" fillId="5" borderId="61" xfId="4" applyNumberFormat="1" applyFont="1" applyFill="1" applyBorder="1" applyAlignment="1">
      <protection locked="0"/>
    </xf>
    <xf numFmtId="3" fontId="30" fillId="5" borderId="10" xfId="4" applyNumberFormat="1" applyFont="1" applyFill="1" applyBorder="1" applyAlignment="1">
      <protection locked="0"/>
    </xf>
    <xf numFmtId="3" fontId="30" fillId="5" borderId="56" xfId="4" applyNumberFormat="1" applyFont="1" applyFill="1" applyBorder="1" applyAlignment="1">
      <protection locked="0"/>
    </xf>
    <xf numFmtId="4" fontId="30" fillId="5" borderId="7" xfId="4" applyNumberFormat="1" applyFont="1" applyFill="1" applyBorder="1" applyAlignment="1">
      <protection locked="0"/>
    </xf>
    <xf numFmtId="3" fontId="22" fillId="5" borderId="72" xfId="4" applyNumberFormat="1" applyFont="1" applyFill="1" applyBorder="1" applyAlignment="1">
      <protection locked="0"/>
    </xf>
    <xf numFmtId="0" fontId="22" fillId="5" borderId="5" xfId="4" applyNumberFormat="1" applyFont="1" applyFill="1" applyBorder="1" applyAlignment="1">
      <protection locked="0"/>
    </xf>
    <xf numFmtId="0" fontId="22" fillId="5" borderId="34" xfId="4" applyNumberFormat="1" applyFont="1" applyFill="1" applyBorder="1" applyAlignment="1">
      <protection locked="0"/>
    </xf>
    <xf numFmtId="0" fontId="22" fillId="5" borderId="8" xfId="4" applyNumberFormat="1" applyFont="1" applyFill="1" applyBorder="1" applyAlignment="1">
      <protection locked="0"/>
    </xf>
    <xf numFmtId="2" fontId="22" fillId="5" borderId="57" xfId="4" applyNumberFormat="1" applyFont="1" applyFill="1" applyBorder="1" applyAlignment="1">
      <protection locked="0"/>
    </xf>
    <xf numFmtId="2" fontId="30" fillId="5" borderId="57" xfId="4" applyNumberFormat="1" applyFont="1" applyFill="1" applyBorder="1" applyAlignment="1">
      <protection locked="0"/>
    </xf>
    <xf numFmtId="2" fontId="6" fillId="5" borderId="10" xfId="4" applyNumberFormat="1" applyFont="1" applyFill="1" applyBorder="1" applyAlignment="1">
      <protection locked="0"/>
    </xf>
    <xf numFmtId="3" fontId="22" fillId="0" borderId="34" xfId="4" applyNumberFormat="1" applyFont="1" applyFill="1" applyBorder="1" applyAlignment="1">
      <protection locked="0"/>
    </xf>
    <xf numFmtId="3" fontId="22" fillId="5" borderId="46" xfId="4" applyNumberFormat="1" applyFont="1" applyFill="1" applyBorder="1" applyAlignment="1">
      <protection locked="0"/>
    </xf>
    <xf numFmtId="3" fontId="22" fillId="0" borderId="13" xfId="4" applyNumberFormat="1" applyFont="1" applyFill="1" applyBorder="1" applyAlignment="1">
      <protection locked="0"/>
    </xf>
    <xf numFmtId="3" fontId="30" fillId="0" borderId="9" xfId="4" applyNumberFormat="1" applyFont="1" applyFill="1" applyBorder="1" applyAlignment="1">
      <protection locked="0"/>
    </xf>
    <xf numFmtId="3" fontId="30" fillId="5" borderId="49" xfId="4" applyNumberFormat="1" applyFont="1" applyFill="1" applyBorder="1" applyAlignment="1">
      <protection locked="0"/>
    </xf>
    <xf numFmtId="3" fontId="30" fillId="5" borderId="60" xfId="4" applyNumberFormat="1" applyFont="1" applyFill="1" applyBorder="1" applyAlignment="1">
      <protection locked="0"/>
    </xf>
    <xf numFmtId="3" fontId="22" fillId="5" borderId="44" xfId="4" applyNumberFormat="1" applyFont="1" applyFill="1" applyBorder="1" applyAlignment="1">
      <protection locked="0"/>
    </xf>
    <xf numFmtId="3" fontId="22" fillId="5" borderId="56" xfId="4" applyNumberFormat="1" applyFont="1" applyFill="1" applyBorder="1" applyAlignment="1">
      <protection locked="0"/>
    </xf>
    <xf numFmtId="3" fontId="22" fillId="5" borderId="61" xfId="4" applyNumberFormat="1" applyFont="1" applyFill="1" applyBorder="1" applyAlignment="1">
      <protection locked="0"/>
    </xf>
    <xf numFmtId="3" fontId="22" fillId="5" borderId="5" xfId="4" applyNumberFormat="1" applyFont="1" applyFill="1" applyBorder="1" applyAlignment="1">
      <protection locked="0"/>
    </xf>
    <xf numFmtId="2" fontId="22" fillId="5" borderId="13" xfId="4" applyNumberFormat="1" applyFont="1" applyFill="1" applyBorder="1" applyAlignment="1">
      <protection locked="0"/>
    </xf>
    <xf numFmtId="0" fontId="0" fillId="3" borderId="58" xfId="2" applyNumberFormat="1" applyFont="1" applyFill="1" applyBorder="1" applyAlignment="1">
      <alignment horizontal="left"/>
    </xf>
    <xf numFmtId="164" fontId="22" fillId="4" borderId="46" xfId="2" applyNumberFormat="1" applyFont="1" applyFill="1" applyBorder="1" applyAlignment="1">
      <alignment horizontal="center"/>
    </xf>
    <xf numFmtId="0" fontId="22" fillId="4" borderId="13" xfId="2" applyNumberFormat="1" applyFont="1" applyFill="1" applyBorder="1" applyAlignment="1">
      <alignment horizontal="center"/>
    </xf>
    <xf numFmtId="2" fontId="6" fillId="4" borderId="34" xfId="2" applyNumberFormat="1" applyFont="1" applyFill="1" applyBorder="1" applyAlignment="1">
      <alignment horizontal="center"/>
    </xf>
    <xf numFmtId="0" fontId="22" fillId="4" borderId="36" xfId="2" applyNumberFormat="1" applyFont="1" applyFill="1" applyBorder="1" applyAlignment="1">
      <alignment horizontal="center"/>
    </xf>
    <xf numFmtId="0" fontId="22" fillId="3" borderId="1" xfId="2" applyNumberFormat="1" applyFont="1" applyFill="1" applyBorder="1" applyAlignment="1">
      <alignment horizontal="right"/>
    </xf>
    <xf numFmtId="164" fontId="22" fillId="4" borderId="47" xfId="2" applyNumberFormat="1" applyFont="1" applyFill="1" applyBorder="1" applyAlignment="1">
      <alignment horizontal="center"/>
    </xf>
    <xf numFmtId="0" fontId="26" fillId="3" borderId="35" xfId="2" applyNumberFormat="1" applyFont="1" applyFill="1" applyBorder="1" applyAlignment="1">
      <alignment horizontal="center"/>
    </xf>
    <xf numFmtId="0" fontId="26" fillId="3" borderId="76" xfId="2" applyNumberFormat="1" applyFont="1" applyFill="1" applyBorder="1" applyAlignment="1">
      <alignment horizontal="center"/>
    </xf>
    <xf numFmtId="0" fontId="27" fillId="3" borderId="59" xfId="2" applyNumberFormat="1" applyFont="1" applyFill="1" applyBorder="1" applyAlignment="1">
      <alignment horizontal="center"/>
    </xf>
    <xf numFmtId="1" fontId="22" fillId="4" borderId="46" xfId="2" applyNumberFormat="1" applyFont="1" applyFill="1" applyBorder="1" applyAlignment="1">
      <alignment horizontal="center"/>
    </xf>
    <xf numFmtId="2" fontId="22" fillId="4" borderId="63" xfId="2" applyNumberFormat="1" applyFont="1" applyFill="1" applyBorder="1" applyAlignment="1">
      <alignment horizontal="center"/>
    </xf>
    <xf numFmtId="0" fontId="6" fillId="3" borderId="7" xfId="2" applyNumberFormat="1" applyFont="1" applyFill="1" applyBorder="1" applyAlignment="1">
      <alignment horizontal="right"/>
    </xf>
    <xf numFmtId="1" fontId="22" fillId="4" borderId="57" xfId="2" applyNumberFormat="1" applyFont="1" applyFill="1" applyBorder="1" applyAlignment="1">
      <alignment horizontal="center"/>
    </xf>
    <xf numFmtId="2" fontId="22" fillId="4" borderId="40" xfId="2" applyNumberFormat="1" applyFont="1" applyFill="1" applyBorder="1" applyAlignment="1">
      <alignment horizontal="center"/>
    </xf>
    <xf numFmtId="3" fontId="6" fillId="4" borderId="45" xfId="2" applyNumberFormat="1" applyFont="1" applyFill="1" applyBorder="1" applyAlignment="1">
      <alignment horizontal="center"/>
    </xf>
    <xf numFmtId="2" fontId="22" fillId="4" borderId="14" xfId="2" applyNumberFormat="1" applyFont="1" applyFill="1" applyBorder="1" applyAlignment="1">
      <alignment horizontal="center"/>
    </xf>
    <xf numFmtId="0" fontId="22" fillId="3" borderId="7" xfId="2" applyNumberFormat="1" applyFont="1" applyFill="1" applyBorder="1" applyAlignment="1">
      <alignment horizontal="right"/>
    </xf>
    <xf numFmtId="3" fontId="22" fillId="4" borderId="45" xfId="2" applyNumberFormat="1" applyFont="1" applyFill="1" applyBorder="1" applyAlignment="1">
      <alignment horizontal="center"/>
    </xf>
    <xf numFmtId="0" fontId="0" fillId="3" borderId="1" xfId="2" applyNumberFormat="1" applyFont="1" applyFill="1" applyBorder="1" applyAlignment="1"/>
    <xf numFmtId="0" fontId="22" fillId="3" borderId="32" xfId="2" applyNumberFormat="1" applyFont="1" applyFill="1" applyBorder="1" applyAlignment="1">
      <alignment horizontal="right"/>
    </xf>
    <xf numFmtId="3" fontId="22" fillId="4" borderId="47" xfId="2" applyNumberFormat="1" applyFont="1" applyFill="1" applyBorder="1" applyAlignment="1">
      <alignment horizontal="center"/>
    </xf>
    <xf numFmtId="2" fontId="22" fillId="4" borderId="35" xfId="2" applyNumberFormat="1" applyFont="1" applyFill="1" applyBorder="1" applyAlignment="1">
      <alignment horizontal="center"/>
    </xf>
    <xf numFmtId="0" fontId="27" fillId="3" borderId="76" xfId="2" applyNumberFormat="1" applyFont="1" applyFill="1" applyBorder="1" applyAlignment="1">
      <alignment horizontal="center"/>
    </xf>
    <xf numFmtId="0" fontId="27" fillId="3" borderId="36" xfId="2" applyNumberFormat="1" applyFont="1" applyFill="1" applyBorder="1" applyAlignment="1">
      <alignment horizontal="center"/>
    </xf>
    <xf numFmtId="164" fontId="22" fillId="4" borderId="11" xfId="2" applyNumberFormat="1" applyFont="1" applyFill="1" applyBorder="1" applyAlignment="1">
      <alignment horizontal="center"/>
    </xf>
    <xf numFmtId="164" fontId="22" fillId="4" borderId="63" xfId="2" applyNumberFormat="1" applyFont="1" applyFill="1" applyBorder="1" applyAlignment="1">
      <alignment horizontal="center"/>
    </xf>
    <xf numFmtId="164" fontId="22" fillId="4" borderId="20" xfId="2" applyNumberFormat="1" applyFont="1" applyFill="1" applyBorder="1" applyAlignment="1">
      <alignment horizontal="center"/>
    </xf>
    <xf numFmtId="164" fontId="22" fillId="4" borderId="14" xfId="2" applyNumberFormat="1" applyFont="1" applyFill="1" applyBorder="1" applyAlignment="1">
      <alignment horizontal="center"/>
    </xf>
    <xf numFmtId="0" fontId="22" fillId="3" borderId="4" xfId="2" applyNumberFormat="1" applyFont="1" applyFill="1" applyBorder="1" applyAlignment="1">
      <alignment horizontal="right"/>
    </xf>
    <xf numFmtId="164" fontId="22" fillId="4" borderId="12" xfId="2" applyNumberFormat="1" applyFont="1" applyFill="1" applyBorder="1" applyAlignment="1">
      <alignment horizontal="center"/>
    </xf>
    <xf numFmtId="164" fontId="22" fillId="4" borderId="35" xfId="2" applyNumberFormat="1" applyFont="1" applyFill="1" applyBorder="1" applyAlignment="1">
      <alignment horizontal="center"/>
    </xf>
    <xf numFmtId="1" fontId="22" fillId="4" borderId="11" xfId="2" applyNumberFormat="1" applyFont="1" applyFill="1" applyBorder="1" applyAlignment="1">
      <alignment horizontal="center"/>
    </xf>
    <xf numFmtId="2" fontId="22" fillId="4" borderId="66" xfId="2" applyNumberFormat="1" applyFont="1" applyFill="1" applyBorder="1" applyAlignment="1">
      <alignment horizontal="center"/>
    </xf>
    <xf numFmtId="1" fontId="22" fillId="4" borderId="20" xfId="2" applyNumberFormat="1" applyFont="1" applyFill="1" applyBorder="1" applyAlignment="1">
      <alignment horizontal="center"/>
    </xf>
    <xf numFmtId="0" fontId="22" fillId="3" borderId="2" xfId="2" applyNumberFormat="1" applyFont="1" applyFill="1" applyBorder="1" applyAlignment="1">
      <alignment horizontal="right"/>
    </xf>
    <xf numFmtId="1" fontId="22" fillId="4" borderId="12" xfId="2" applyNumberFormat="1" applyFont="1" applyFill="1" applyBorder="1" applyAlignment="1">
      <alignment horizontal="center"/>
    </xf>
    <xf numFmtId="0" fontId="22" fillId="5" borderId="8" xfId="4" applyNumberFormat="1" applyFont="1" applyFill="1" applyBorder="1" applyAlignment="1">
      <alignment horizontal="center"/>
      <protection locked="0"/>
    </xf>
    <xf numFmtId="164" fontId="22" fillId="5" borderId="13" xfId="4" applyNumberFormat="1" applyFont="1" applyFill="1" applyBorder="1" applyAlignment="1">
      <alignment horizontal="center"/>
      <protection locked="0"/>
    </xf>
    <xf numFmtId="164" fontId="22" fillId="5" borderId="36" xfId="4" applyNumberFormat="1" applyFont="1" applyFill="1" applyBorder="1" applyAlignment="1">
      <alignment horizontal="center"/>
      <protection locked="0"/>
    </xf>
    <xf numFmtId="0" fontId="22" fillId="5" borderId="5" xfId="4" applyNumberFormat="1" applyFont="1" applyFill="1" applyBorder="1" applyAlignment="1">
      <alignment horizontal="center"/>
      <protection locked="0"/>
    </xf>
    <xf numFmtId="0" fontId="22" fillId="5" borderId="13" xfId="4" applyNumberFormat="1" applyFont="1" applyFill="1" applyBorder="1" applyAlignment="1">
      <alignment horizontal="center"/>
      <protection locked="0"/>
    </xf>
    <xf numFmtId="0" fontId="22" fillId="5" borderId="34" xfId="4" applyNumberFormat="1" applyFont="1" applyFill="1" applyBorder="1" applyAlignment="1">
      <alignment horizontal="center"/>
      <protection locked="0"/>
    </xf>
    <xf numFmtId="0" fontId="22" fillId="5" borderId="36" xfId="4" applyNumberFormat="1" applyFont="1" applyFill="1" applyBorder="1" applyAlignment="1">
      <alignment horizontal="center"/>
      <protection locked="0"/>
    </xf>
    <xf numFmtId="0" fontId="22"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66" fillId="3" borderId="0" xfId="2" applyNumberFormat="1" applyFont="1" applyFill="1" applyBorder="1" applyAlignment="1"/>
    <xf numFmtId="0" fontId="22" fillId="4" borderId="16" xfId="2" applyNumberFormat="1" applyFont="1" applyFill="1" applyBorder="1" applyAlignment="1">
      <alignment horizontal="center"/>
    </xf>
    <xf numFmtId="0" fontId="22" fillId="4" borderId="37" xfId="2" applyNumberFormat="1" applyFont="1" applyFill="1" applyBorder="1" applyAlignment="1">
      <alignment horizontal="center"/>
    </xf>
    <xf numFmtId="3" fontId="22" fillId="4" borderId="16" xfId="2" applyNumberFormat="1" applyFont="1" applyFill="1" applyBorder="1" applyAlignment="1">
      <alignment horizontal="center"/>
    </xf>
    <xf numFmtId="0" fontId="22" fillId="4" borderId="32" xfId="2" applyNumberFormat="1" applyFont="1" applyFill="1" applyBorder="1" applyAlignment="1">
      <alignment horizontal="center"/>
    </xf>
    <xf numFmtId="164" fontId="0" fillId="3" borderId="0" xfId="2" applyNumberFormat="1" applyFont="1" applyFill="1" applyBorder="1" applyAlignment="1"/>
    <xf numFmtId="0" fontId="0" fillId="3" borderId="59" xfId="2" applyNumberFormat="1" applyFont="1" applyFill="1" applyBorder="1" applyAlignment="1"/>
    <xf numFmtId="0" fontId="26" fillId="3" borderId="71" xfId="2" applyNumberFormat="1" applyFont="1" applyFill="1" applyBorder="1" applyAlignment="1">
      <alignment horizontal="center" wrapText="1"/>
    </xf>
    <xf numFmtId="0" fontId="0" fillId="3" borderId="0" xfId="2" applyNumberFormat="1" applyFont="1" applyFill="1" applyBorder="1" applyAlignment="1">
      <alignment horizontal="center"/>
    </xf>
    <xf numFmtId="0" fontId="0" fillId="3" borderId="55" xfId="2" applyNumberFormat="1" applyFont="1" applyFill="1" applyBorder="1" applyAlignment="1"/>
    <xf numFmtId="0" fontId="26" fillId="3" borderId="73" xfId="2" applyNumberFormat="1" applyFont="1" applyFill="1" applyBorder="1" applyAlignment="1">
      <alignment horizontal="center"/>
    </xf>
    <xf numFmtId="0" fontId="44" fillId="3" borderId="71" xfId="2" applyNumberFormat="1" applyFont="1" applyFill="1" applyBorder="1" applyAlignment="1">
      <alignment horizontal="right"/>
    </xf>
    <xf numFmtId="164" fontId="68" fillId="4" borderId="71" xfId="2" applyNumberFormat="1" applyFont="1" applyFill="1" applyBorder="1" applyAlignment="1"/>
    <xf numFmtId="164" fontId="22" fillId="3" borderId="0" xfId="2" applyNumberFormat="1" applyFont="1" applyFill="1" applyBorder="1" applyAlignment="1"/>
    <xf numFmtId="0" fontId="22" fillId="11" borderId="25" xfId="2" applyNumberFormat="1" applyFont="1" applyFill="1" applyBorder="1" applyAlignment="1">
      <alignment horizontal="right"/>
    </xf>
    <xf numFmtId="3" fontId="22" fillId="4" borderId="11" xfId="2" applyNumberFormat="1" applyFont="1" applyFill="1" applyBorder="1" applyAlignment="1"/>
    <xf numFmtId="3" fontId="22" fillId="4" borderId="26" xfId="2" applyNumberFormat="1" applyFont="1" applyFill="1" applyBorder="1" applyAlignment="1"/>
    <xf numFmtId="3" fontId="22" fillId="4" borderId="27" xfId="2" applyNumberFormat="1" applyFont="1" applyFill="1" applyBorder="1" applyAlignment="1"/>
    <xf numFmtId="164" fontId="22" fillId="4" borderId="11" xfId="2" applyNumberFormat="1" applyFont="1" applyFill="1" applyBorder="1" applyAlignment="1"/>
    <xf numFmtId="164" fontId="22" fillId="4" borderId="5" xfId="2" applyNumberFormat="1" applyFont="1" applyFill="1" applyBorder="1" applyAlignment="1"/>
    <xf numFmtId="164" fontId="22" fillId="4" borderId="63" xfId="2" applyNumberFormat="1" applyFont="1" applyFill="1" applyBorder="1" applyAlignment="1"/>
    <xf numFmtId="0" fontId="22" fillId="11" borderId="42" xfId="2" applyNumberFormat="1" applyFont="1" applyFill="1" applyBorder="1" applyAlignment="1">
      <alignment horizontal="right"/>
    </xf>
    <xf numFmtId="3" fontId="22" fillId="4" borderId="20" xfId="2" applyNumberFormat="1" applyFont="1" applyFill="1" applyBorder="1" applyAlignment="1"/>
    <xf numFmtId="3" fontId="22" fillId="4" borderId="68" xfId="2" applyNumberFormat="1" applyFont="1" applyFill="1" applyBorder="1" applyAlignment="1"/>
    <xf numFmtId="3" fontId="22" fillId="4" borderId="28" xfId="2" applyNumberFormat="1" applyFont="1" applyFill="1" applyBorder="1" applyAlignment="1"/>
    <xf numFmtId="164" fontId="22" fillId="4" borderId="20" xfId="2" applyNumberFormat="1" applyFont="1" applyFill="1" applyBorder="1" applyAlignment="1"/>
    <xf numFmtId="164" fontId="22" fillId="4" borderId="13" xfId="2" applyNumberFormat="1" applyFont="1" applyFill="1" applyBorder="1" applyAlignment="1"/>
    <xf numFmtId="164" fontId="22" fillId="4" borderId="14" xfId="2" applyNumberFormat="1" applyFont="1" applyFill="1" applyBorder="1" applyAlignment="1"/>
    <xf numFmtId="0" fontId="22" fillId="11" borderId="43" xfId="2" applyNumberFormat="1" applyFont="1" applyFill="1" applyBorder="1" applyAlignment="1">
      <alignment horizontal="right"/>
    </xf>
    <xf numFmtId="3" fontId="22" fillId="4" borderId="12" xfId="2" applyNumberFormat="1" applyFont="1" applyFill="1" applyBorder="1" applyAlignment="1"/>
    <xf numFmtId="3" fontId="22" fillId="4" borderId="35" xfId="2" applyNumberFormat="1" applyFont="1" applyFill="1" applyBorder="1" applyAlignment="1"/>
    <xf numFmtId="3" fontId="22" fillId="4" borderId="69" xfId="2" applyNumberFormat="1" applyFont="1" applyFill="1" applyBorder="1" applyAlignment="1"/>
    <xf numFmtId="3" fontId="22" fillId="4" borderId="29" xfId="2" applyNumberFormat="1" applyFont="1" applyFill="1" applyBorder="1" applyAlignment="1"/>
    <xf numFmtId="0" fontId="22" fillId="12" borderId="25" xfId="2" applyNumberFormat="1" applyFont="1" applyFill="1" applyBorder="1" applyAlignment="1">
      <alignment horizontal="right"/>
    </xf>
    <xf numFmtId="164" fontId="22" fillId="4" borderId="8" xfId="2" applyNumberFormat="1" applyFont="1" applyFill="1" applyBorder="1" applyAlignment="1"/>
    <xf numFmtId="164" fontId="22" fillId="4" borderId="35" xfId="2" applyNumberFormat="1" applyFont="1" applyFill="1" applyBorder="1" applyAlignment="1"/>
    <xf numFmtId="0" fontId="22" fillId="12" borderId="42" xfId="2" applyNumberFormat="1" applyFont="1" applyFill="1" applyBorder="1" applyAlignment="1">
      <alignment horizontal="right"/>
    </xf>
    <xf numFmtId="3" fontId="22" fillId="4" borderId="64" xfId="2" applyNumberFormat="1" applyFont="1" applyFill="1" applyBorder="1" applyAlignment="1"/>
    <xf numFmtId="3" fontId="22" fillId="4" borderId="31" xfId="2" applyNumberFormat="1" applyFont="1" applyFill="1" applyBorder="1" applyAlignment="1"/>
    <xf numFmtId="0" fontId="22" fillId="12" borderId="43" xfId="2" applyNumberFormat="1" applyFont="1" applyFill="1" applyBorder="1" applyAlignment="1">
      <alignment horizontal="right"/>
    </xf>
    <xf numFmtId="3" fontId="22" fillId="4" borderId="4" xfId="2" applyNumberFormat="1" applyFont="1" applyFill="1" applyBorder="1" applyAlignment="1"/>
    <xf numFmtId="3" fontId="22" fillId="4" borderId="32" xfId="2" applyNumberFormat="1" applyFont="1" applyFill="1" applyBorder="1" applyAlignment="1"/>
    <xf numFmtId="164" fontId="22" fillId="3" borderId="0" xfId="2" applyNumberFormat="1" applyFont="1" applyFill="1" applyBorder="1" applyAlignment="1">
      <alignment horizontal="right"/>
    </xf>
    <xf numFmtId="0" fontId="22" fillId="13" borderId="25" xfId="2" applyNumberFormat="1" applyFont="1" applyFill="1" applyBorder="1" applyAlignment="1">
      <alignment horizontal="right"/>
    </xf>
    <xf numFmtId="3" fontId="30" fillId="4" borderId="26" xfId="2" applyNumberFormat="1" applyFont="1" applyFill="1" applyBorder="1" applyAlignment="1"/>
    <xf numFmtId="3" fontId="30" fillId="4" borderId="27" xfId="2" applyNumberFormat="1" applyFont="1" applyFill="1" applyBorder="1" applyAlignment="1"/>
    <xf numFmtId="0" fontId="22" fillId="13" borderId="42" xfId="2" applyNumberFormat="1" applyFont="1" applyFill="1" applyBorder="1" applyAlignment="1">
      <alignment horizontal="right"/>
    </xf>
    <xf numFmtId="3" fontId="30" fillId="4" borderId="68" xfId="2" applyNumberFormat="1" applyFont="1" applyFill="1" applyBorder="1" applyAlignment="1"/>
    <xf numFmtId="3" fontId="30" fillId="4" borderId="28" xfId="2" applyNumberFormat="1" applyFont="1" applyFill="1" applyBorder="1" applyAlignment="1"/>
    <xf numFmtId="0" fontId="22" fillId="13" borderId="43" xfId="2" applyNumberFormat="1" applyFont="1" applyFill="1" applyBorder="1" applyAlignment="1">
      <alignment horizontal="right"/>
    </xf>
    <xf numFmtId="3" fontId="30" fillId="4" borderId="69" xfId="2" applyNumberFormat="1" applyFont="1" applyFill="1" applyBorder="1" applyAlignment="1"/>
    <xf numFmtId="3" fontId="30" fillId="4" borderId="29" xfId="2" applyNumberFormat="1" applyFont="1" applyFill="1" applyBorder="1" applyAlignment="1"/>
    <xf numFmtId="0" fontId="22" fillId="14" borderId="39" xfId="2" applyNumberFormat="1" applyFont="1" applyFill="1" applyBorder="1" applyAlignment="1">
      <alignment horizontal="right"/>
    </xf>
    <xf numFmtId="0" fontId="22" fillId="14" borderId="41" xfId="2" applyNumberFormat="1" applyFont="1" applyFill="1" applyBorder="1" applyAlignment="1">
      <alignment horizontal="right"/>
    </xf>
    <xf numFmtId="0" fontId="22" fillId="14" borderId="38" xfId="2" applyNumberFormat="1" applyFont="1" applyFill="1" applyBorder="1" applyAlignment="1">
      <alignment horizontal="right"/>
    </xf>
    <xf numFmtId="0" fontId="22" fillId="15" borderId="39" xfId="2" applyNumberFormat="1" applyFont="1" applyFill="1" applyBorder="1" applyAlignment="1">
      <alignment horizontal="right"/>
    </xf>
    <xf numFmtId="0" fontId="22" fillId="15" borderId="41" xfId="2" applyNumberFormat="1" applyFont="1" applyFill="1" applyBorder="1" applyAlignment="1">
      <alignment horizontal="right"/>
    </xf>
    <xf numFmtId="0" fontId="26" fillId="3" borderId="22" xfId="2" applyNumberFormat="1" applyFont="1" applyFill="1" applyBorder="1" applyAlignment="1">
      <alignment horizontal="center" wrapText="1"/>
    </xf>
    <xf numFmtId="0" fontId="26" fillId="3" borderId="17" xfId="2" applyNumberFormat="1" applyFont="1" applyFill="1" applyBorder="1" applyAlignment="1">
      <alignment horizontal="center" wrapText="1"/>
    </xf>
    <xf numFmtId="0" fontId="31" fillId="3" borderId="2" xfId="2" applyNumberFormat="1" applyFont="1" applyFill="1" applyBorder="1" applyAlignment="1">
      <alignment wrapText="1"/>
    </xf>
    <xf numFmtId="0" fontId="22" fillId="5" borderId="21" xfId="4" applyNumberFormat="1" applyFont="1" applyFill="1" applyBorder="1" applyAlignment="1">
      <protection locked="0"/>
    </xf>
    <xf numFmtId="0" fontId="22" fillId="5" borderId="34" xfId="4" applyNumberFormat="1" applyFont="1" applyFill="1" applyBorder="1" applyAlignment="1">
      <alignment horizontal="left"/>
      <protection locked="0"/>
    </xf>
    <xf numFmtId="0" fontId="22" fillId="5" borderId="39" xfId="4" applyNumberFormat="1" applyFont="1" applyFill="1" applyBorder="1" applyAlignment="1">
      <alignment horizontal="left"/>
      <protection locked="0"/>
    </xf>
    <xf numFmtId="0" fontId="22" fillId="5" borderId="39" xfId="4" applyNumberFormat="1" applyFont="1" applyFill="1" applyBorder="1" applyAlignment="1">
      <alignment horizontal="center"/>
      <protection locked="0"/>
    </xf>
    <xf numFmtId="0" fontId="22" fillId="5" borderId="20" xfId="4" applyNumberFormat="1" applyFont="1" applyFill="1" applyBorder="1" applyAlignment="1">
      <protection locked="0"/>
    </xf>
    <xf numFmtId="0" fontId="22" fillId="5" borderId="13" xfId="4" applyNumberFormat="1" applyFont="1" applyFill="1" applyBorder="1" applyAlignment="1">
      <alignment horizontal="left"/>
      <protection locked="0"/>
    </xf>
    <xf numFmtId="0" fontId="22" fillId="5" borderId="41" xfId="4" applyNumberFormat="1" applyFont="1" applyFill="1" applyBorder="1" applyAlignment="1">
      <alignment horizontal="left"/>
      <protection locked="0"/>
    </xf>
    <xf numFmtId="0" fontId="22" fillId="5" borderId="41" xfId="4" applyNumberFormat="1" applyFont="1" applyFill="1" applyBorder="1" applyAlignment="1">
      <alignment horizontal="center"/>
      <protection locked="0"/>
    </xf>
    <xf numFmtId="0" fontId="22" fillId="5" borderId="12" xfId="4" applyNumberFormat="1" applyFont="1" applyFill="1" applyBorder="1" applyAlignment="1">
      <protection locked="0"/>
    </xf>
    <xf numFmtId="0" fontId="22" fillId="5" borderId="8" xfId="4" applyNumberFormat="1" applyFont="1" applyFill="1" applyBorder="1" applyAlignment="1">
      <alignment horizontal="left"/>
      <protection locked="0"/>
    </xf>
    <xf numFmtId="0" fontId="22" fillId="5" borderId="38" xfId="4" applyNumberFormat="1" applyFont="1" applyFill="1" applyBorder="1" applyAlignment="1">
      <alignment horizontal="left"/>
      <protection locked="0"/>
    </xf>
    <xf numFmtId="0" fontId="22" fillId="5" borderId="38" xfId="4" applyNumberFormat="1" applyFont="1" applyFill="1" applyBorder="1" applyAlignment="1">
      <alignment horizontal="center"/>
      <protection locked="0"/>
    </xf>
    <xf numFmtId="0" fontId="22" fillId="5" borderId="11" xfId="4" applyNumberFormat="1" applyFont="1" applyFill="1" applyBorder="1" applyAlignment="1">
      <protection locked="0"/>
    </xf>
    <xf numFmtId="0" fontId="22" fillId="5" borderId="5" xfId="4" applyNumberFormat="1" applyFont="1" applyFill="1" applyBorder="1" applyAlignment="1">
      <alignment horizontal="left"/>
      <protection locked="0"/>
    </xf>
    <xf numFmtId="164" fontId="6" fillId="4" borderId="57" xfId="2" applyNumberFormat="1" applyFont="1" applyFill="1" applyBorder="1" applyAlignment="1">
      <alignment horizontal="right"/>
    </xf>
    <xf numFmtId="164" fontId="6" fillId="4" borderId="34" xfId="2" applyNumberFormat="1" applyFont="1" applyFill="1" applyBorder="1" applyAlignment="1">
      <alignment horizontal="right"/>
    </xf>
    <xf numFmtId="164" fontId="6" fillId="4" borderId="45" xfId="2" applyNumberFormat="1" applyFont="1" applyFill="1" applyBorder="1" applyAlignment="1">
      <alignment horizontal="right"/>
    </xf>
    <xf numFmtId="164" fontId="6" fillId="4" borderId="13" xfId="2" applyNumberFormat="1" applyFont="1" applyFill="1" applyBorder="1" applyAlignment="1">
      <alignment horizontal="right"/>
    </xf>
    <xf numFmtId="164" fontId="6" fillId="4" borderId="79" xfId="2" applyNumberFormat="1" applyFont="1" applyFill="1" applyBorder="1" applyAlignment="1">
      <alignment horizontal="center"/>
    </xf>
    <xf numFmtId="164" fontId="6" fillId="4" borderId="80" xfId="2" applyNumberFormat="1" applyFont="1" applyFill="1" applyBorder="1" applyAlignment="1">
      <alignment horizontal="center"/>
    </xf>
    <xf numFmtId="164" fontId="6" fillId="4" borderId="81" xfId="2" applyNumberFormat="1" applyFont="1" applyFill="1" applyBorder="1" applyAlignment="1">
      <alignment horizontal="center"/>
    </xf>
    <xf numFmtId="164" fontId="6" fillId="4" borderId="82" xfId="2" applyNumberFormat="1" applyFont="1" applyFill="1" applyBorder="1" applyAlignment="1">
      <alignment horizontal="center"/>
    </xf>
    <xf numFmtId="164" fontId="6" fillId="4" borderId="83" xfId="2" applyNumberFormat="1" applyFont="1" applyFill="1" applyBorder="1" applyAlignment="1">
      <alignment horizontal="center"/>
    </xf>
    <xf numFmtId="164" fontId="6" fillId="4" borderId="84" xfId="2" applyNumberFormat="1" applyFont="1" applyFill="1" applyBorder="1" applyAlignment="1">
      <alignment horizontal="center"/>
    </xf>
    <xf numFmtId="164" fontId="6" fillId="4" borderId="85" xfId="2" applyNumberFormat="1" applyFont="1" applyFill="1" applyBorder="1" applyAlignment="1">
      <alignment horizontal="center"/>
    </xf>
    <xf numFmtId="0" fontId="0" fillId="5" borderId="13" xfId="2" applyNumberFormat="1" applyFont="1" applyFill="1" applyBorder="1" applyAlignment="1" applyProtection="1">
      <protection locked="0"/>
    </xf>
    <xf numFmtId="0" fontId="27" fillId="3" borderId="0" xfId="0" applyFont="1" applyFill="1" applyAlignment="1">
      <alignment horizontal="center" vertical="center" wrapText="1"/>
    </xf>
    <xf numFmtId="0" fontId="27" fillId="3" borderId="0" xfId="0" applyFont="1" applyFill="1" applyAlignment="1">
      <alignment horizontal="center" vertical="top" wrapText="1"/>
    </xf>
    <xf numFmtId="0" fontId="9" fillId="3" borderId="0" xfId="2" applyNumberFormat="1" applyFont="1" applyFill="1" applyBorder="1" applyAlignment="1">
      <alignment horizontal="left"/>
    </xf>
    <xf numFmtId="0" fontId="9" fillId="3" borderId="0" xfId="2" applyNumberFormat="1" applyFont="1" applyFill="1" applyBorder="1" applyAlignment="1"/>
    <xf numFmtId="0" fontId="29" fillId="3" borderId="77" xfId="0" applyFont="1" applyFill="1" applyBorder="1" applyAlignment="1">
      <alignment wrapText="1"/>
    </xf>
    <xf numFmtId="0" fontId="29" fillId="3" borderId="42" xfId="0" applyFont="1" applyFill="1" applyBorder="1" applyAlignment="1">
      <alignment horizontal="left" wrapText="1"/>
    </xf>
    <xf numFmtId="0" fontId="29" fillId="3" borderId="42" xfId="0" applyFont="1" applyFill="1" applyBorder="1" applyAlignment="1">
      <alignment wrapText="1"/>
    </xf>
    <xf numFmtId="0" fontId="29" fillId="3" borderId="87" xfId="0" applyFont="1" applyFill="1" applyBorder="1" applyAlignment="1">
      <alignment wrapText="1"/>
    </xf>
    <xf numFmtId="0" fontId="29" fillId="3" borderId="77" xfId="0" applyFont="1" applyFill="1" applyBorder="1" applyAlignment="1">
      <alignment horizontal="right" wrapText="1"/>
    </xf>
    <xf numFmtId="0" fontId="29" fillId="3" borderId="87" xfId="0" applyFont="1" applyFill="1" applyBorder="1" applyAlignment="1">
      <alignment horizontal="right" wrapText="1"/>
    </xf>
    <xf numFmtId="0" fontId="29" fillId="3" borderId="0" xfId="0" applyFont="1" applyFill="1" applyAlignment="1">
      <alignment horizontal="center" vertical="top" wrapText="1"/>
    </xf>
    <xf numFmtId="0" fontId="0" fillId="3" borderId="0" xfId="0" applyFill="1"/>
    <xf numFmtId="164" fontId="29" fillId="4" borderId="25" xfId="0" applyNumberFormat="1" applyFont="1" applyFill="1" applyBorder="1" applyAlignment="1">
      <alignment horizontal="center" vertical="center"/>
    </xf>
    <xf numFmtId="164" fontId="29" fillId="4" borderId="27" xfId="0" applyNumberFormat="1" applyFont="1" applyFill="1" applyBorder="1" applyAlignment="1">
      <alignment horizontal="center" vertical="center"/>
    </xf>
    <xf numFmtId="164" fontId="29" fillId="4" borderId="77" xfId="0" applyNumberFormat="1" applyFont="1" applyFill="1" applyBorder="1" applyAlignment="1">
      <alignment horizontal="center" vertical="center"/>
    </xf>
    <xf numFmtId="164" fontId="29" fillId="4" borderId="31" xfId="0" applyNumberFormat="1" applyFont="1" applyFill="1" applyBorder="1" applyAlignment="1">
      <alignment horizontal="center" vertical="center"/>
    </xf>
    <xf numFmtId="164" fontId="26" fillId="4" borderId="16" xfId="0" applyNumberFormat="1" applyFont="1" applyFill="1" applyBorder="1" applyAlignment="1">
      <alignment horizontal="center" vertical="center"/>
    </xf>
    <xf numFmtId="0" fontId="29" fillId="3" borderId="51" xfId="0" applyFont="1" applyFill="1" applyBorder="1" applyAlignment="1">
      <alignment wrapText="1"/>
    </xf>
    <xf numFmtId="0" fontId="22" fillId="3" borderId="25"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87"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0" xfId="0" applyFont="1" applyFill="1" applyBorder="1" applyAlignment="1">
      <alignment horizontal="center" vertical="center"/>
    </xf>
    <xf numFmtId="164" fontId="29" fillId="20" borderId="16" xfId="0" applyNumberFormat="1" applyFont="1" applyFill="1" applyBorder="1" applyAlignment="1">
      <alignment horizontal="center" vertical="center"/>
    </xf>
    <xf numFmtId="164" fontId="42" fillId="20" borderId="16" xfId="0" applyNumberFormat="1" applyFont="1" applyFill="1" applyBorder="1" applyAlignment="1">
      <alignment horizontal="left" vertical="center"/>
    </xf>
    <xf numFmtId="0" fontId="27" fillId="3" borderId="33" xfId="0" applyFont="1" applyFill="1" applyBorder="1" applyAlignment="1">
      <alignment wrapText="1"/>
    </xf>
    <xf numFmtId="0" fontId="29" fillId="3" borderId="4" xfId="0" applyFont="1" applyFill="1" applyBorder="1" applyAlignment="1">
      <alignment horizontal="center" vertical="center" wrapText="1"/>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9" fillId="3" borderId="32" xfId="0" applyFont="1" applyFill="1" applyBorder="1" applyAlignment="1">
      <alignment horizontal="center" vertical="center" wrapText="1"/>
    </xf>
    <xf numFmtId="0" fontId="27" fillId="3" borderId="27" xfId="0" applyFont="1" applyFill="1" applyBorder="1" applyAlignment="1">
      <alignment horizontal="center" vertical="center" wrapText="1"/>
    </xf>
    <xf numFmtId="164" fontId="29" fillId="20" borderId="31" xfId="0" applyNumberFormat="1" applyFont="1" applyFill="1" applyBorder="1" applyAlignment="1">
      <alignment horizontal="center" vertical="center"/>
    </xf>
    <xf numFmtId="164" fontId="42" fillId="20" borderId="33" xfId="0" applyNumberFormat="1" applyFont="1" applyFill="1" applyBorder="1" applyAlignment="1">
      <alignment horizontal="left" vertical="center"/>
    </xf>
    <xf numFmtId="164" fontId="29" fillId="20" borderId="73" xfId="0" applyNumberFormat="1" applyFont="1" applyFill="1" applyBorder="1" applyAlignment="1">
      <alignment horizontal="center" vertical="center"/>
    </xf>
    <xf numFmtId="164" fontId="29" fillId="20" borderId="28" xfId="0" applyNumberFormat="1" applyFont="1" applyFill="1" applyBorder="1" applyAlignment="1">
      <alignment horizontal="center" vertical="center"/>
    </xf>
    <xf numFmtId="164" fontId="29" fillId="4" borderId="28" xfId="0" applyNumberFormat="1" applyFont="1" applyFill="1" applyBorder="1" applyAlignment="1">
      <alignment horizontal="center" vertical="center"/>
    </xf>
    <xf numFmtId="164" fontId="29" fillId="4" borderId="86" xfId="0" applyNumberFormat="1" applyFont="1" applyFill="1" applyBorder="1" applyAlignment="1">
      <alignment horizontal="center" vertical="center"/>
    </xf>
    <xf numFmtId="164" fontId="29" fillId="4" borderId="73" xfId="0" applyNumberFormat="1" applyFont="1" applyFill="1" applyBorder="1" applyAlignment="1">
      <alignment horizontal="center" vertical="center"/>
    </xf>
    <xf numFmtId="164" fontId="29" fillId="20" borderId="86" xfId="0" applyNumberFormat="1" applyFont="1" applyFill="1" applyBorder="1" applyAlignment="1">
      <alignment horizontal="center" vertical="center"/>
    </xf>
    <xf numFmtId="0" fontId="29" fillId="3" borderId="51" xfId="0" applyFont="1" applyFill="1" applyBorder="1" applyAlignment="1">
      <alignment horizontal="right" wrapText="1"/>
    </xf>
    <xf numFmtId="0" fontId="29" fillId="3" borderId="58" xfId="0" applyFont="1" applyFill="1" applyBorder="1" applyAlignment="1">
      <alignment horizontal="right" wrapText="1"/>
    </xf>
    <xf numFmtId="0" fontId="44" fillId="3" borderId="16" xfId="0" applyFont="1" applyFill="1" applyBorder="1" applyAlignment="1">
      <alignment horizontal="center" vertical="center" wrapText="1"/>
    </xf>
    <xf numFmtId="164" fontId="26" fillId="4" borderId="33" xfId="0" applyNumberFormat="1" applyFont="1" applyFill="1" applyBorder="1" applyAlignment="1">
      <alignment horizontal="center" vertical="center"/>
    </xf>
    <xf numFmtId="0" fontId="22" fillId="3" borderId="16" xfId="0" applyFont="1" applyFill="1" applyBorder="1" applyAlignment="1">
      <alignment horizontal="center" vertical="center"/>
    </xf>
    <xf numFmtId="0" fontId="49" fillId="3" borderId="77" xfId="0" applyFont="1" applyFill="1" applyBorder="1" applyAlignment="1">
      <alignment wrapText="1"/>
    </xf>
    <xf numFmtId="0" fontId="49" fillId="3" borderId="51" xfId="0" applyFont="1" applyFill="1" applyBorder="1" applyAlignment="1">
      <alignment wrapText="1"/>
    </xf>
    <xf numFmtId="0" fontId="44" fillId="3" borderId="33" xfId="0" applyFont="1" applyFill="1" applyBorder="1" applyAlignment="1">
      <alignment horizontal="center" vertical="center" wrapText="1"/>
    </xf>
    <xf numFmtId="164" fontId="29" fillId="20" borderId="33" xfId="0" applyNumberFormat="1" applyFont="1" applyFill="1" applyBorder="1" applyAlignment="1">
      <alignment horizontal="center" vertical="center"/>
    </xf>
    <xf numFmtId="0" fontId="29" fillId="3" borderId="51" xfId="0" applyFont="1" applyFill="1" applyBorder="1" applyAlignment="1">
      <alignment horizontal="left" wrapText="1"/>
    </xf>
    <xf numFmtId="0" fontId="22" fillId="3" borderId="73" xfId="0" applyFont="1" applyFill="1" applyBorder="1" applyAlignment="1">
      <alignment horizontal="center" vertical="center"/>
    </xf>
    <xf numFmtId="164" fontId="49" fillId="4" borderId="31" xfId="0" applyNumberFormat="1" applyFont="1" applyFill="1" applyBorder="1" applyAlignment="1">
      <alignment horizontal="center" vertical="center"/>
    </xf>
    <xf numFmtId="0" fontId="49" fillId="3" borderId="58" xfId="0" applyFont="1" applyFill="1" applyBorder="1" applyAlignment="1">
      <alignment wrapText="1"/>
    </xf>
    <xf numFmtId="0" fontId="29" fillId="3" borderId="68" xfId="0" applyFont="1" applyFill="1" applyBorder="1" applyAlignment="1">
      <alignment horizontal="right" wrapText="1"/>
    </xf>
    <xf numFmtId="164" fontId="26" fillId="3" borderId="6" xfId="0" applyNumberFormat="1" applyFont="1" applyFill="1" applyBorder="1" applyAlignment="1">
      <alignment horizontal="center" vertical="center"/>
    </xf>
    <xf numFmtId="164" fontId="26" fillId="3" borderId="73" xfId="0" applyNumberFormat="1" applyFont="1" applyFill="1" applyBorder="1" applyAlignment="1">
      <alignment horizontal="center" vertical="center"/>
    </xf>
    <xf numFmtId="0" fontId="29" fillId="3" borderId="19" xfId="0" applyFont="1" applyFill="1" applyBorder="1" applyAlignment="1">
      <alignment horizontal="right" wrapText="1"/>
    </xf>
    <xf numFmtId="0" fontId="29" fillId="3" borderId="65" xfId="0" applyFont="1" applyFill="1" applyBorder="1" applyAlignment="1">
      <alignment horizontal="right" wrapText="1"/>
    </xf>
    <xf numFmtId="0" fontId="29" fillId="5" borderId="25" xfId="4" applyNumberFormat="1" applyFont="1" applyFill="1" applyBorder="1" applyAlignment="1">
      <alignment horizontal="center"/>
      <protection locked="0"/>
    </xf>
    <xf numFmtId="0" fontId="29" fillId="5" borderId="42" xfId="4" applyNumberFormat="1" applyFont="1" applyFill="1" applyBorder="1" applyAlignment="1">
      <alignment horizontal="center"/>
      <protection locked="0"/>
    </xf>
    <xf numFmtId="0" fontId="29" fillId="5" borderId="43" xfId="4" applyNumberFormat="1" applyFont="1" applyFill="1" applyBorder="1" applyAlignment="1">
      <alignment horizontal="center"/>
      <protection locked="0"/>
    </xf>
    <xf numFmtId="0" fontId="29" fillId="4" borderId="20" xfId="2" applyNumberFormat="1" applyFont="1" applyFill="1" applyBorder="1" applyAlignment="1">
      <alignment horizontal="center"/>
    </xf>
    <xf numFmtId="0" fontId="29" fillId="4" borderId="14" xfId="2" applyNumberFormat="1" applyFont="1" applyFill="1" applyBorder="1" applyAlignment="1">
      <alignment horizontal="center"/>
    </xf>
    <xf numFmtId="2" fontId="49" fillId="4" borderId="12" xfId="2" applyNumberFormat="1" applyFont="1" applyFill="1" applyBorder="1" applyAlignment="1">
      <alignment horizontal="center"/>
    </xf>
    <xf numFmtId="2" fontId="49" fillId="4" borderId="8" xfId="2" applyNumberFormat="1" applyFont="1" applyFill="1" applyBorder="1" applyAlignment="1">
      <alignment horizontal="center"/>
    </xf>
    <xf numFmtId="0" fontId="29" fillId="0" borderId="56" xfId="4" applyNumberFormat="1" applyFont="1" applyFill="1" applyBorder="1" applyAlignment="1">
      <alignment horizontal="center" vertical="center" wrapText="1"/>
      <protection locked="0"/>
    </xf>
    <xf numFmtId="0" fontId="29" fillId="5" borderId="55" xfId="4" applyNumberFormat="1" applyFont="1" applyFill="1" applyBorder="1" applyAlignment="1">
      <alignment horizontal="center"/>
      <protection locked="0"/>
    </xf>
    <xf numFmtId="0" fontId="29" fillId="0" borderId="17" xfId="4" applyNumberFormat="1" applyFont="1" applyFill="1" applyBorder="1" applyAlignment="1">
      <alignment horizontal="center" vertical="center" wrapText="1"/>
      <protection locked="0"/>
    </xf>
    <xf numFmtId="0" fontId="29" fillId="5" borderId="50" xfId="4" applyNumberFormat="1" applyFont="1" applyFill="1" applyBorder="1" applyAlignment="1">
      <alignment horizontal="center"/>
      <protection locked="0"/>
    </xf>
    <xf numFmtId="0" fontId="42" fillId="3" borderId="51" xfId="0" applyFont="1" applyFill="1" applyBorder="1" applyAlignment="1">
      <alignment wrapText="1"/>
    </xf>
    <xf numFmtId="2" fontId="29" fillId="5" borderId="20" xfId="4" applyNumberFormat="1" applyFont="1" applyFill="1" applyBorder="1" applyAlignment="1">
      <alignment horizontal="center" vertical="center"/>
      <protection locked="0"/>
    </xf>
    <xf numFmtId="164" fontId="29" fillId="5" borderId="31" xfId="0" applyNumberFormat="1" applyFont="1" applyFill="1" applyBorder="1" applyAlignment="1" applyProtection="1">
      <alignment horizontal="center" vertical="center"/>
      <protection locked="0"/>
    </xf>
    <xf numFmtId="164" fontId="29" fillId="5" borderId="77" xfId="0" applyNumberFormat="1" applyFont="1" applyFill="1" applyBorder="1" applyAlignment="1" applyProtection="1">
      <alignment horizontal="center" vertical="center"/>
      <protection locked="0"/>
    </xf>
    <xf numFmtId="164" fontId="29" fillId="5" borderId="42" xfId="0" applyNumberFormat="1" applyFont="1" applyFill="1" applyBorder="1" applyAlignment="1" applyProtection="1">
      <alignment horizontal="center" vertical="center"/>
      <protection locked="0"/>
    </xf>
    <xf numFmtId="164" fontId="29" fillId="5" borderId="28" xfId="0" applyNumberFormat="1" applyFont="1" applyFill="1" applyBorder="1" applyAlignment="1" applyProtection="1">
      <alignment horizontal="center" vertical="center"/>
      <protection locked="0"/>
    </xf>
    <xf numFmtId="164" fontId="29" fillId="5" borderId="25" xfId="0" applyNumberFormat="1" applyFont="1" applyFill="1" applyBorder="1" applyAlignment="1" applyProtection="1">
      <alignment horizontal="center" vertical="center"/>
      <protection locked="0"/>
    </xf>
    <xf numFmtId="164" fontId="29" fillId="5" borderId="27" xfId="0" applyNumberFormat="1" applyFont="1" applyFill="1" applyBorder="1" applyAlignment="1" applyProtection="1">
      <alignment horizontal="center" vertical="center"/>
      <protection locked="0"/>
    </xf>
    <xf numFmtId="164" fontId="29" fillId="5" borderId="1" xfId="0" applyNumberFormat="1" applyFont="1" applyFill="1" applyBorder="1" applyAlignment="1" applyProtection="1">
      <alignment horizontal="center" vertical="center"/>
      <protection locked="0"/>
    </xf>
    <xf numFmtId="164" fontId="29" fillId="5" borderId="32" xfId="0" applyNumberFormat="1" applyFont="1" applyFill="1" applyBorder="1" applyAlignment="1" applyProtection="1">
      <alignment horizontal="center" vertical="center"/>
      <protection locked="0"/>
    </xf>
    <xf numFmtId="164" fontId="29" fillId="5" borderId="77" xfId="0" applyNumberFormat="1" applyFont="1" applyFill="1" applyBorder="1" applyAlignment="1" applyProtection="1">
      <alignment horizontal="center"/>
      <protection locked="0"/>
    </xf>
    <xf numFmtId="164" fontId="29" fillId="5" borderId="31" xfId="0" applyNumberFormat="1" applyFont="1" applyFill="1" applyBorder="1" applyAlignment="1" applyProtection="1">
      <alignment horizontal="center"/>
      <protection locked="0"/>
    </xf>
    <xf numFmtId="164" fontId="29" fillId="5" borderId="42" xfId="0" applyNumberFormat="1" applyFont="1" applyFill="1" applyBorder="1" applyAlignment="1" applyProtection="1">
      <alignment horizontal="center"/>
      <protection locked="0"/>
    </xf>
    <xf numFmtId="164" fontId="29" fillId="5" borderId="28" xfId="0" applyNumberFormat="1" applyFont="1" applyFill="1" applyBorder="1" applyAlignment="1" applyProtection="1">
      <alignment horizontal="center"/>
      <protection locked="0"/>
    </xf>
    <xf numFmtId="3" fontId="22" fillId="5" borderId="68" xfId="2" applyNumberFormat="1" applyFont="1" applyFill="1" applyBorder="1" applyAlignment="1" applyProtection="1">
      <protection locked="0"/>
    </xf>
    <xf numFmtId="3" fontId="22" fillId="5" borderId="28" xfId="2" applyNumberFormat="1" applyFont="1" applyFill="1" applyBorder="1" applyAlignment="1" applyProtection="1">
      <protection locked="0"/>
    </xf>
    <xf numFmtId="3" fontId="22" fillId="5" borderId="69" xfId="2" applyNumberFormat="1" applyFont="1" applyFill="1" applyBorder="1" applyAlignment="1" applyProtection="1">
      <protection locked="0"/>
    </xf>
    <xf numFmtId="3" fontId="22" fillId="5" borderId="29" xfId="2" applyNumberFormat="1" applyFont="1" applyFill="1" applyBorder="1" applyAlignment="1" applyProtection="1">
      <protection locked="0"/>
    </xf>
    <xf numFmtId="0" fontId="22" fillId="4" borderId="33" xfId="2" applyNumberFormat="1" applyFont="1" applyFill="1" applyBorder="1" applyAlignment="1">
      <alignment horizontal="right"/>
    </xf>
    <xf numFmtId="3" fontId="6" fillId="4" borderId="32" xfId="2" applyNumberFormat="1" applyFont="1" applyFill="1" applyBorder="1" applyAlignment="1"/>
    <xf numFmtId="3" fontId="6" fillId="4" borderId="2" xfId="2" applyNumberFormat="1" applyFont="1" applyFill="1" applyBorder="1" applyAlignment="1"/>
    <xf numFmtId="3" fontId="22" fillId="4" borderId="16" xfId="2" applyNumberFormat="1" applyFont="1" applyFill="1" applyBorder="1" applyAlignment="1"/>
    <xf numFmtId="0" fontId="26" fillId="3" borderId="1" xfId="2" applyNumberFormat="1" applyFont="1" applyFill="1" applyBorder="1" applyAlignment="1">
      <alignment horizontal="center"/>
    </xf>
    <xf numFmtId="0" fontId="23" fillId="3" borderId="0" xfId="2" applyNumberFormat="1" applyFont="1" applyFill="1" applyBorder="1" applyAlignment="1">
      <alignment horizontal="left" wrapText="1"/>
    </xf>
    <xf numFmtId="0" fontId="49" fillId="4" borderId="12" xfId="2" applyNumberFormat="1" applyFont="1" applyFill="1" applyBorder="1" applyAlignment="1">
      <alignment horizontal="center" vertical="center" wrapText="1"/>
    </xf>
    <xf numFmtId="0" fontId="27" fillId="8" borderId="16" xfId="2" applyNumberFormat="1" applyFont="1" applyFill="1" applyBorder="1" applyAlignment="1">
      <alignment horizontal="center" vertical="center" wrapText="1"/>
    </xf>
    <xf numFmtId="164" fontId="29" fillId="8" borderId="27" xfId="4" applyNumberFormat="1" applyFont="1" applyFill="1" applyBorder="1" applyAlignment="1">
      <alignment horizontal="center" vertical="center"/>
      <protection locked="0"/>
    </xf>
    <xf numFmtId="164" fontId="29" fillId="8" borderId="28" xfId="4" applyNumberFormat="1" applyFont="1" applyFill="1" applyBorder="1" applyAlignment="1">
      <alignment horizontal="center" vertical="center"/>
      <protection locked="0"/>
    </xf>
    <xf numFmtId="164" fontId="29" fillId="8" borderId="29" xfId="4" applyNumberFormat="1" applyFont="1" applyFill="1" applyBorder="1" applyAlignment="1">
      <alignment horizontal="center" vertical="center"/>
      <protection locked="0"/>
    </xf>
    <xf numFmtId="1" fontId="27" fillId="8" borderId="37" xfId="4" applyNumberFormat="1" applyFont="1" applyFill="1" applyBorder="1" applyAlignment="1">
      <alignment horizontal="center" vertical="center" wrapText="1"/>
      <protection locked="0"/>
    </xf>
    <xf numFmtId="164" fontId="27" fillId="8" borderId="31" xfId="4" applyNumberFormat="1" applyFont="1" applyFill="1" applyBorder="1" applyAlignment="1">
      <alignment horizontal="center" vertical="center" wrapText="1"/>
      <protection locked="0"/>
    </xf>
    <xf numFmtId="164" fontId="29" fillId="8" borderId="29" xfId="4" applyNumberFormat="1" applyFont="1" applyFill="1" applyBorder="1" applyAlignment="1">
      <alignment horizontal="center" vertical="center" wrapText="1"/>
      <protection locked="0"/>
    </xf>
    <xf numFmtId="164" fontId="29" fillId="8" borderId="32" xfId="4" applyNumberFormat="1" applyFont="1" applyFill="1" applyBorder="1" applyAlignment="1">
      <alignment horizontal="center" vertical="center" wrapText="1"/>
      <protection locked="0"/>
    </xf>
    <xf numFmtId="0" fontId="27" fillId="8" borderId="71" xfId="2" applyNumberFormat="1" applyFont="1" applyFill="1" applyBorder="1" applyAlignment="1">
      <alignment horizontal="center" wrapText="1"/>
    </xf>
    <xf numFmtId="0" fontId="27" fillId="8" borderId="73" xfId="2" applyNumberFormat="1" applyFont="1" applyFill="1" applyBorder="1" applyAlignment="1">
      <alignment horizontal="center"/>
    </xf>
    <xf numFmtId="3" fontId="29" fillId="8" borderId="27" xfId="4" applyNumberFormat="1" applyFont="1" applyFill="1" applyBorder="1" applyAlignment="1">
      <protection locked="0"/>
    </xf>
    <xf numFmtId="3" fontId="45" fillId="8" borderId="28" xfId="4" applyNumberFormat="1" applyFont="1" applyFill="1" applyBorder="1" applyAlignment="1">
      <protection locked="0"/>
    </xf>
    <xf numFmtId="3" fontId="45" fillId="8" borderId="29" xfId="4" applyNumberFormat="1" applyFont="1" applyFill="1" applyBorder="1" applyAlignment="1">
      <protection locked="0"/>
    </xf>
    <xf numFmtId="3" fontId="45" fillId="8" borderId="27" xfId="4" applyNumberFormat="1" applyFont="1" applyFill="1" applyBorder="1" applyAlignment="1">
      <protection locked="0"/>
    </xf>
    <xf numFmtId="3" fontId="45" fillId="8" borderId="31" xfId="4" applyNumberFormat="1" applyFont="1" applyFill="1" applyBorder="1" applyAlignment="1">
      <protection locked="0"/>
    </xf>
    <xf numFmtId="3" fontId="45" fillId="8" borderId="16" xfId="2" applyNumberFormat="1" applyFont="1" applyFill="1" applyBorder="1" applyAlignment="1"/>
    <xf numFmtId="0" fontId="44" fillId="8" borderId="30" xfId="2" applyNumberFormat="1" applyFont="1" applyFill="1" applyBorder="1" applyAlignment="1">
      <alignment horizontal="center" vertical="center" wrapText="1"/>
    </xf>
    <xf numFmtId="2" fontId="29" fillId="8" borderId="5" xfId="4" applyNumberFormat="1" applyFont="1" applyFill="1" applyBorder="1" applyAlignment="1">
      <alignment horizontal="center" vertical="center"/>
      <protection locked="0"/>
    </xf>
    <xf numFmtId="2" fontId="29" fillId="8" borderId="13" xfId="4" applyNumberFormat="1" applyFont="1" applyFill="1" applyBorder="1" applyAlignment="1">
      <alignment horizontal="center" vertical="center"/>
      <protection locked="0"/>
    </xf>
    <xf numFmtId="2" fontId="29" fillId="8" borderId="13" xfId="2" applyNumberFormat="1" applyFont="1" applyFill="1" applyBorder="1" applyAlignment="1">
      <alignment horizontal="center" vertical="center"/>
    </xf>
    <xf numFmtId="2" fontId="29" fillId="8" borderId="13" xfId="4" applyNumberFormat="1" applyFont="1" applyFill="1" applyBorder="1" applyAlignment="1">
      <alignment horizontal="center"/>
      <protection locked="0"/>
    </xf>
    <xf numFmtId="2" fontId="26" fillId="8" borderId="33" xfId="2" applyNumberFormat="1" applyFont="1" applyFill="1" applyBorder="1" applyAlignment="1">
      <alignment horizontal="center" vertical="center"/>
    </xf>
    <xf numFmtId="2" fontId="29" fillId="8" borderId="34" xfId="2" applyNumberFormat="1" applyFont="1" applyFill="1" applyBorder="1" applyAlignment="1">
      <alignment horizontal="center" vertical="center"/>
    </xf>
    <xf numFmtId="2" fontId="29" fillId="8" borderId="8" xfId="2" applyNumberFormat="1" applyFont="1" applyFill="1" applyBorder="1" applyAlignment="1">
      <alignment horizontal="center" vertical="center"/>
    </xf>
    <xf numFmtId="0" fontId="23" fillId="3" borderId="0" xfId="2" applyNumberFormat="1" applyFont="1" applyFill="1" applyBorder="1" applyAlignment="1">
      <alignment horizontal="left"/>
    </xf>
    <xf numFmtId="0" fontId="26" fillId="3" borderId="54" xfId="2" applyNumberFormat="1" applyFont="1" applyFill="1" applyBorder="1" applyAlignment="1">
      <alignment horizontal="center"/>
    </xf>
    <xf numFmtId="0" fontId="26" fillId="3" borderId="15" xfId="2" applyNumberFormat="1" applyFont="1" applyFill="1" applyBorder="1" applyAlignment="1">
      <alignment horizontal="center"/>
    </xf>
    <xf numFmtId="164" fontId="49" fillId="4" borderId="11" xfId="2" applyNumberFormat="1" applyFont="1" applyFill="1" applyBorder="1" applyAlignment="1">
      <alignment horizontal="center" vertical="center" wrapText="1"/>
    </xf>
    <xf numFmtId="164" fontId="49" fillId="4" borderId="35" xfId="2" applyNumberFormat="1" applyFont="1" applyFill="1" applyBorder="1" applyAlignment="1">
      <alignment horizontal="center" vertical="center" wrapText="1"/>
    </xf>
    <xf numFmtId="2" fontId="49" fillId="4" borderId="14" xfId="2" applyNumberFormat="1" applyFont="1" applyFill="1" applyBorder="1" applyAlignment="1">
      <alignment horizontal="center" vertical="center" wrapText="1"/>
    </xf>
    <xf numFmtId="0" fontId="49" fillId="9" borderId="14" xfId="2" applyNumberFormat="1" applyFont="1" applyFill="1" applyBorder="1" applyAlignment="1">
      <alignment horizontal="center" vertical="center" wrapText="1"/>
    </xf>
    <xf numFmtId="0" fontId="31" fillId="3" borderId="0" xfId="2" applyNumberFormat="1" applyFont="1" applyFill="1" applyBorder="1" applyAlignment="1">
      <alignment vertical="top"/>
    </xf>
    <xf numFmtId="0" fontId="26" fillId="3" borderId="54" xfId="2" applyNumberFormat="1" applyFont="1" applyFill="1" applyBorder="1" applyAlignment="1"/>
    <xf numFmtId="0" fontId="0" fillId="3" borderId="53" xfId="2" applyNumberFormat="1" applyFont="1" applyFill="1" applyBorder="1" applyAlignment="1"/>
    <xf numFmtId="0" fontId="49" fillId="4" borderId="13" xfId="2" applyNumberFormat="1" applyFont="1" applyFill="1" applyBorder="1" applyAlignment="1">
      <alignment horizontal="center" vertical="center" wrapText="1"/>
    </xf>
    <xf numFmtId="0" fontId="49" fillId="9" borderId="13" xfId="2" applyNumberFormat="1" applyFont="1" applyFill="1" applyBorder="1" applyAlignment="1">
      <alignment horizontal="center" vertical="center" wrapText="1"/>
    </xf>
    <xf numFmtId="0" fontId="49" fillId="20" borderId="13" xfId="2" applyNumberFormat="1" applyFont="1" applyFill="1" applyBorder="1" applyAlignment="1">
      <alignment horizontal="center" vertical="center" wrapText="1"/>
    </xf>
    <xf numFmtId="164" fontId="49" fillId="4" borderId="5" xfId="2" applyNumberFormat="1" applyFont="1" applyFill="1" applyBorder="1" applyAlignment="1">
      <alignment horizontal="center" vertical="center" wrapText="1"/>
    </xf>
    <xf numFmtId="0" fontId="49" fillId="20" borderId="14" xfId="2" applyNumberFormat="1" applyFont="1" applyFill="1" applyBorder="1" applyAlignment="1">
      <alignment horizontal="center" vertical="center" wrapText="1"/>
    </xf>
    <xf numFmtId="164" fontId="49" fillId="4" borderId="8" xfId="2" applyNumberFormat="1" applyFont="1" applyFill="1" applyBorder="1" applyAlignment="1">
      <alignment horizontal="center" vertical="center" wrapText="1"/>
    </xf>
    <xf numFmtId="0" fontId="31" fillId="3" borderId="73" xfId="2" applyNumberFormat="1" applyFont="1" applyFill="1" applyBorder="1" applyAlignment="1">
      <alignment horizontal="center" vertical="center" wrapText="1"/>
    </xf>
    <xf numFmtId="0" fontId="49" fillId="4" borderId="45" xfId="2" applyNumberFormat="1" applyFont="1" applyFill="1" applyBorder="1" applyAlignment="1">
      <alignment horizontal="center" vertical="center" wrapText="1"/>
    </xf>
    <xf numFmtId="2" fontId="49" fillId="4" borderId="45" xfId="2" applyNumberFormat="1" applyFont="1" applyFill="1" applyBorder="1" applyAlignment="1">
      <alignment horizontal="center" vertical="center" wrapText="1"/>
    </xf>
    <xf numFmtId="164" fontId="49" fillId="4" borderId="47" xfId="2" applyNumberFormat="1" applyFont="1" applyFill="1" applyBorder="1" applyAlignment="1">
      <alignment horizontal="center" vertical="center" wrapText="1"/>
    </xf>
    <xf numFmtId="1" fontId="49" fillId="4" borderId="63" xfId="2" applyNumberFormat="1" applyFont="1" applyFill="1" applyBorder="1" applyAlignment="1">
      <alignment horizontal="center" vertical="center" wrapText="1"/>
    </xf>
    <xf numFmtId="0" fontId="49" fillId="4" borderId="14" xfId="2" applyNumberFormat="1" applyFont="1" applyFill="1" applyBorder="1" applyAlignment="1">
      <alignment horizontal="center" vertical="center" wrapText="1"/>
    </xf>
    <xf numFmtId="0" fontId="37" fillId="3" borderId="7" xfId="2" applyNumberFormat="1" applyFont="1" applyFill="1" applyBorder="1" applyAlignment="1">
      <alignment horizontal="center" vertical="center" wrapText="1"/>
    </xf>
    <xf numFmtId="0" fontId="37" fillId="3" borderId="56" xfId="2" applyNumberFormat="1" applyFont="1" applyFill="1" applyBorder="1" applyAlignment="1">
      <alignment horizontal="center" vertical="center" wrapText="1"/>
    </xf>
    <xf numFmtId="0" fontId="27" fillId="3" borderId="1" xfId="2" applyNumberFormat="1" applyFont="1" applyFill="1" applyBorder="1" applyAlignment="1">
      <alignment horizontal="right" vertical="center" wrapText="1"/>
    </xf>
    <xf numFmtId="0" fontId="27" fillId="3" borderId="15" xfId="2" applyNumberFormat="1" applyFont="1" applyFill="1" applyBorder="1" applyAlignment="1">
      <alignment horizontal="center" vertical="center" wrapText="1"/>
    </xf>
    <xf numFmtId="0" fontId="0" fillId="20" borderId="20" xfId="2" applyNumberFormat="1" applyFont="1" applyFill="1" applyBorder="1" applyAlignment="1"/>
    <xf numFmtId="1" fontId="49" fillId="4" borderId="35" xfId="2" applyNumberFormat="1" applyFont="1" applyFill="1" applyBorder="1" applyAlignment="1">
      <alignment horizontal="center" vertical="center" wrapText="1"/>
    </xf>
    <xf numFmtId="1" fontId="49" fillId="4" borderId="46" xfId="2" applyNumberFormat="1" applyFont="1" applyFill="1" applyBorder="1" applyAlignment="1">
      <alignment horizontal="center" vertical="center" wrapText="1"/>
    </xf>
    <xf numFmtId="0" fontId="33" fillId="3" borderId="0" xfId="2" applyNumberFormat="1" applyFont="1" applyFill="1" applyBorder="1" applyAlignment="1" applyProtection="1">
      <protection hidden="1"/>
    </xf>
    <xf numFmtId="0" fontId="29" fillId="3" borderId="68" xfId="2" applyNumberFormat="1" applyFont="1" applyFill="1" applyBorder="1" applyAlignment="1">
      <alignment horizontal="right" vertical="center" wrapText="1"/>
    </xf>
    <xf numFmtId="0" fontId="27" fillId="3" borderId="37" xfId="2" applyNumberFormat="1" applyFont="1" applyFill="1" applyBorder="1" applyAlignment="1">
      <alignment vertical="center" wrapText="1"/>
    </xf>
    <xf numFmtId="0" fontId="29" fillId="3" borderId="86" xfId="2" applyNumberFormat="1" applyFont="1" applyFill="1" applyBorder="1" applyAlignment="1">
      <alignment horizontal="right" vertical="center" wrapText="1"/>
    </xf>
    <xf numFmtId="2" fontId="29" fillId="0" borderId="76" xfId="4" applyNumberFormat="1" applyFont="1" applyFill="1" applyBorder="1" applyAlignment="1">
      <alignment horizontal="center" vertical="center" wrapText="1"/>
      <protection locked="0"/>
    </xf>
    <xf numFmtId="164" fontId="29" fillId="0" borderId="36" xfId="4" applyNumberFormat="1" applyFont="1" applyFill="1" applyBorder="1" applyAlignment="1">
      <alignment horizontal="center" vertical="center" wrapText="1"/>
      <protection locked="0"/>
    </xf>
    <xf numFmtId="164" fontId="29" fillId="4" borderId="59" xfId="2" applyNumberFormat="1" applyFont="1" applyFill="1" applyBorder="1" applyAlignment="1">
      <alignment horizontal="center" vertical="center" wrapText="1"/>
    </xf>
    <xf numFmtId="2" fontId="29" fillId="5" borderId="76" xfId="4" applyNumberFormat="1" applyFont="1" applyFill="1" applyBorder="1" applyAlignment="1">
      <alignment horizontal="center" vertical="center" wrapText="1"/>
      <protection locked="0"/>
    </xf>
    <xf numFmtId="164" fontId="29" fillId="5" borderId="36" xfId="4" applyNumberFormat="1" applyFont="1" applyFill="1" applyBorder="1" applyAlignment="1">
      <alignment horizontal="center" vertical="center" wrapText="1"/>
      <protection locked="0"/>
    </xf>
    <xf numFmtId="0" fontId="29" fillId="3" borderId="26" xfId="2" applyNumberFormat="1" applyFont="1" applyFill="1" applyBorder="1" applyAlignment="1">
      <alignment horizontal="right" vertical="center" wrapText="1"/>
    </xf>
    <xf numFmtId="0" fontId="0" fillId="5" borderId="25" xfId="4" applyNumberFormat="1" applyFont="1" applyFill="1" applyBorder="1" applyAlignment="1">
      <protection locked="0"/>
    </xf>
    <xf numFmtId="0" fontId="0" fillId="5" borderId="42" xfId="4" applyNumberFormat="1" applyFont="1" applyFill="1" applyBorder="1" applyAlignment="1">
      <protection locked="0"/>
    </xf>
    <xf numFmtId="0" fontId="0" fillId="0" borderId="42" xfId="4" applyNumberFormat="1" applyFont="1" applyFill="1" applyBorder="1" applyAlignment="1">
      <protection locked="0"/>
    </xf>
    <xf numFmtId="0" fontId="29" fillId="3" borderId="64" xfId="2" applyNumberFormat="1" applyFont="1" applyFill="1" applyBorder="1" applyAlignment="1">
      <alignment horizontal="right" vertical="center" wrapText="1"/>
    </xf>
    <xf numFmtId="2" fontId="29" fillId="0" borderId="21" xfId="4" applyNumberFormat="1" applyFont="1" applyFill="1" applyBorder="1" applyAlignment="1">
      <alignment horizontal="center" vertical="center" wrapText="1"/>
      <protection locked="0"/>
    </xf>
    <xf numFmtId="164" fontId="29" fillId="0" borderId="34" xfId="4" applyNumberFormat="1" applyFont="1" applyFill="1" applyBorder="1" applyAlignment="1">
      <alignment horizontal="center" vertical="center" wrapText="1"/>
      <protection locked="0"/>
    </xf>
    <xf numFmtId="164" fontId="29" fillId="4" borderId="55" xfId="2" applyNumberFormat="1" applyFont="1" applyFill="1" applyBorder="1" applyAlignment="1">
      <alignment horizontal="center" vertical="center" wrapText="1"/>
    </xf>
    <xf numFmtId="2" fontId="29" fillId="5" borderId="21" xfId="4" applyNumberFormat="1" applyFont="1" applyFill="1" applyBorder="1" applyAlignment="1">
      <alignment horizontal="center" vertical="center" wrapText="1"/>
      <protection locked="0"/>
    </xf>
    <xf numFmtId="164" fontId="29" fillId="5" borderId="34" xfId="4" applyNumberFormat="1" applyFont="1" applyFill="1" applyBorder="1" applyAlignment="1">
      <alignment horizontal="center" vertical="center" wrapText="1"/>
      <protection locked="0"/>
    </xf>
    <xf numFmtId="0" fontId="0" fillId="5" borderId="77" xfId="4" applyNumberFormat="1" applyFont="1" applyFill="1" applyBorder="1" applyAlignment="1">
      <protection locked="0"/>
    </xf>
    <xf numFmtId="0" fontId="0" fillId="0" borderId="87" xfId="4" applyNumberFormat="1" applyFont="1" applyFill="1" applyBorder="1" applyAlignment="1">
      <protection locked="0"/>
    </xf>
    <xf numFmtId="0" fontId="29" fillId="3" borderId="75" xfId="2" applyNumberFormat="1" applyFont="1" applyFill="1" applyBorder="1" applyAlignment="1" applyProtection="1">
      <alignment horizontal="right" vertical="center" wrapText="1"/>
      <protection locked="0"/>
    </xf>
    <xf numFmtId="0" fontId="29" fillId="0" borderId="76" xfId="4" applyNumberFormat="1" applyFont="1" applyFill="1" applyBorder="1" applyAlignment="1">
      <alignment horizontal="center" vertical="center" wrapText="1"/>
      <protection locked="0"/>
    </xf>
    <xf numFmtId="0" fontId="29" fillId="0" borderId="36" xfId="4" applyNumberFormat="1" applyFont="1" applyFill="1" applyBorder="1" applyAlignment="1">
      <alignment vertical="center" wrapText="1"/>
      <protection locked="0"/>
    </xf>
    <xf numFmtId="0" fontId="29" fillId="0" borderId="72" xfId="4" applyNumberFormat="1" applyFont="1" applyFill="1" applyBorder="1" applyAlignment="1">
      <alignment vertical="center" wrapText="1"/>
      <protection locked="0"/>
    </xf>
    <xf numFmtId="0" fontId="29" fillId="0" borderId="60" xfId="4" applyNumberFormat="1" applyFont="1" applyFill="1" applyBorder="1" applyAlignment="1">
      <alignment vertical="center" wrapText="1"/>
      <protection locked="0"/>
    </xf>
    <xf numFmtId="0" fontId="29" fillId="0" borderId="86" xfId="4" applyNumberFormat="1" applyFont="1" applyFill="1" applyBorder="1" applyAlignment="1">
      <alignment vertical="center" wrapText="1"/>
      <protection locked="0"/>
    </xf>
    <xf numFmtId="0" fontId="49" fillId="4" borderId="26" xfId="2" applyNumberFormat="1" applyFont="1" applyFill="1" applyBorder="1" applyAlignment="1">
      <alignment horizontal="center"/>
    </xf>
    <xf numFmtId="1" fontId="49" fillId="5" borderId="68" xfId="4" applyNumberFormat="1" applyFont="1" applyFill="1" applyBorder="1" applyAlignment="1">
      <alignment horizontal="center"/>
      <protection locked="0"/>
    </xf>
    <xf numFmtId="164" fontId="49" fillId="4" borderId="68" xfId="2" applyNumberFormat="1" applyFont="1" applyFill="1" applyBorder="1" applyAlignment="1">
      <alignment horizontal="center"/>
    </xf>
    <xf numFmtId="2" fontId="49" fillId="5" borderId="64" xfId="4" applyNumberFormat="1" applyFont="1" applyFill="1" applyBorder="1" applyAlignment="1">
      <alignment horizontal="center"/>
      <protection locked="0"/>
    </xf>
    <xf numFmtId="0" fontId="49" fillId="5" borderId="64" xfId="4" applyNumberFormat="1" applyFont="1" applyFill="1" applyBorder="1" applyAlignment="1">
      <alignment horizontal="center"/>
      <protection locked="0"/>
    </xf>
    <xf numFmtId="0" fontId="49" fillId="5" borderId="68" xfId="4" applyNumberFormat="1" applyFont="1" applyFill="1" applyBorder="1" applyAlignment="1">
      <alignment horizontal="center"/>
      <protection locked="0"/>
    </xf>
    <xf numFmtId="2" fontId="0" fillId="4" borderId="69" xfId="2" applyNumberFormat="1" applyFont="1" applyFill="1" applyBorder="1" applyAlignment="1">
      <alignment horizontal="center"/>
    </xf>
    <xf numFmtId="0" fontId="0" fillId="3" borderId="58" xfId="2" applyNumberFormat="1" applyFont="1" applyFill="1" applyBorder="1" applyAlignment="1"/>
    <xf numFmtId="0" fontId="29" fillId="3" borderId="25" xfId="2" applyNumberFormat="1" applyFont="1" applyFill="1" applyBorder="1" applyAlignment="1"/>
    <xf numFmtId="0" fontId="0" fillId="3" borderId="19" xfId="2" applyNumberFormat="1" applyFont="1" applyFill="1" applyBorder="1" applyAlignment="1"/>
    <xf numFmtId="0" fontId="0" fillId="3" borderId="42" xfId="2" applyNumberFormat="1" applyFont="1" applyFill="1" applyBorder="1" applyAlignment="1"/>
    <xf numFmtId="0" fontId="30" fillId="3" borderId="42" xfId="2" applyNumberFormat="1" applyFont="1" applyFill="1" applyBorder="1" applyAlignment="1">
      <alignment horizontal="left"/>
    </xf>
    <xf numFmtId="0" fontId="22" fillId="3" borderId="43" xfId="2" applyNumberFormat="1" applyFont="1" applyFill="1" applyBorder="1" applyAlignment="1"/>
    <xf numFmtId="0" fontId="0" fillId="3" borderId="65" xfId="2" applyNumberFormat="1" applyFont="1" applyFill="1" applyBorder="1" applyAlignment="1"/>
    <xf numFmtId="0" fontId="49" fillId="3" borderId="26" xfId="2" applyNumberFormat="1" applyFont="1" applyFill="1" applyBorder="1" applyAlignment="1">
      <alignment horizontal="right"/>
    </xf>
    <xf numFmtId="2" fontId="26" fillId="7" borderId="17" xfId="2" applyNumberFormat="1" applyFont="1" applyFill="1" applyBorder="1" applyAlignment="1">
      <alignment horizontal="center"/>
    </xf>
    <xf numFmtId="2" fontId="22" fillId="5" borderId="62" xfId="4" applyNumberFormat="1" applyFont="1" applyFill="1" applyBorder="1" applyAlignment="1">
      <protection locked="0"/>
    </xf>
    <xf numFmtId="2" fontId="22" fillId="5" borderId="9" xfId="4" applyNumberFormat="1" applyFont="1" applyFill="1" applyBorder="1" applyAlignment="1">
      <protection locked="0"/>
    </xf>
    <xf numFmtId="2" fontId="26" fillId="7" borderId="56" xfId="2" applyNumberFormat="1" applyFont="1" applyFill="1" applyBorder="1" applyAlignment="1">
      <alignment horizontal="center"/>
    </xf>
    <xf numFmtId="2" fontId="22" fillId="5" borderId="5" xfId="4" applyNumberFormat="1" applyFont="1" applyFill="1" applyBorder="1" applyAlignment="1">
      <alignment horizontal="center"/>
      <protection locked="0"/>
    </xf>
    <xf numFmtId="2" fontId="22" fillId="5" borderId="13" xfId="4" applyNumberFormat="1" applyFont="1" applyFill="1" applyBorder="1" applyAlignment="1">
      <alignment horizontal="center"/>
      <protection locked="0"/>
    </xf>
    <xf numFmtId="2" fontId="6" fillId="5" borderId="56" xfId="4" applyNumberFormat="1" applyFont="1" applyFill="1" applyBorder="1" applyAlignment="1">
      <alignment horizontal="center"/>
      <protection locked="0"/>
    </xf>
    <xf numFmtId="2" fontId="22" fillId="4" borderId="17" xfId="2" applyNumberFormat="1" applyFont="1" applyFill="1" applyBorder="1" applyAlignment="1">
      <alignment horizontal="center"/>
    </xf>
    <xf numFmtId="2" fontId="22" fillId="5" borderId="34" xfId="4" applyNumberFormat="1" applyFont="1" applyFill="1" applyBorder="1" applyAlignment="1">
      <alignment horizontal="center"/>
      <protection locked="0"/>
    </xf>
    <xf numFmtId="2" fontId="22" fillId="5" borderId="36" xfId="4" applyNumberFormat="1" applyFont="1" applyFill="1" applyBorder="1" applyAlignment="1">
      <alignment horizontal="center"/>
      <protection locked="0"/>
    </xf>
    <xf numFmtId="2" fontId="22" fillId="5" borderId="8" xfId="4" applyNumberFormat="1" applyFont="1" applyFill="1" applyBorder="1" applyAlignment="1">
      <alignment horizontal="center"/>
      <protection locked="0"/>
    </xf>
    <xf numFmtId="2" fontId="26" fillId="4" borderId="17" xfId="2" applyNumberFormat="1" applyFont="1" applyFill="1" applyBorder="1" applyAlignment="1">
      <alignment horizontal="center"/>
    </xf>
    <xf numFmtId="3" fontId="22" fillId="7" borderId="56" xfId="2" applyNumberFormat="1" applyFont="1" applyFill="1" applyBorder="1" applyAlignment="1"/>
    <xf numFmtId="3" fontId="22" fillId="5" borderId="8" xfId="4" applyNumberFormat="1" applyFont="1" applyFill="1" applyBorder="1" applyAlignment="1">
      <protection locked="0"/>
    </xf>
    <xf numFmtId="3" fontId="22" fillId="5" borderId="35" xfId="4" applyNumberFormat="1" applyFont="1" applyFill="1" applyBorder="1" applyAlignment="1">
      <protection locked="0"/>
    </xf>
    <xf numFmtId="3" fontId="26" fillId="4" borderId="49" xfId="2" applyNumberFormat="1" applyFont="1" applyFill="1" applyBorder="1" applyAlignment="1"/>
    <xf numFmtId="3" fontId="22" fillId="4" borderId="62" xfId="2" applyNumberFormat="1" applyFont="1" applyFill="1" applyBorder="1" applyAlignment="1"/>
    <xf numFmtId="3" fontId="22" fillId="0" borderId="5" xfId="4" applyNumberFormat="1" applyFont="1" applyFill="1" applyBorder="1" applyAlignment="1">
      <protection locked="0"/>
    </xf>
    <xf numFmtId="3" fontId="22" fillId="0" borderId="56" xfId="4" applyNumberFormat="1" applyFont="1" applyFill="1" applyBorder="1" applyAlignment="1">
      <protection locked="0"/>
    </xf>
    <xf numFmtId="3" fontId="22" fillId="5" borderId="36" xfId="4" applyNumberFormat="1" applyFont="1" applyFill="1" applyBorder="1" applyAlignment="1">
      <protection locked="0"/>
    </xf>
    <xf numFmtId="3" fontId="22" fillId="0" borderId="8" xfId="4" applyNumberFormat="1" applyFont="1" applyFill="1" applyBorder="1" applyAlignment="1">
      <protection locked="0"/>
    </xf>
    <xf numFmtId="3" fontId="26" fillId="7" borderId="56" xfId="2" applyNumberFormat="1" applyFont="1" applyFill="1" applyBorder="1" applyAlignment="1"/>
    <xf numFmtId="3" fontId="26" fillId="7" borderId="61" xfId="2" applyNumberFormat="1" applyFont="1" applyFill="1" applyBorder="1" applyAlignment="1"/>
    <xf numFmtId="3" fontId="22" fillId="0" borderId="57" xfId="4" applyNumberFormat="1" applyFont="1" applyFill="1" applyBorder="1" applyAlignment="1">
      <protection locked="0"/>
    </xf>
    <xf numFmtId="3" fontId="22" fillId="0" borderId="44" xfId="4" applyNumberFormat="1" applyFont="1" applyFill="1" applyBorder="1" applyAlignment="1">
      <protection locked="0"/>
    </xf>
    <xf numFmtId="3" fontId="22" fillId="4" borderId="48" xfId="2" applyNumberFormat="1" applyFont="1" applyFill="1" applyBorder="1" applyAlignment="1"/>
    <xf numFmtId="3" fontId="22" fillId="4" borderId="62" xfId="4" applyNumberFormat="1" applyFont="1" applyFill="1" applyBorder="1" applyAlignment="1" applyProtection="1"/>
    <xf numFmtId="3" fontId="22" fillId="5" borderId="68" xfId="4" applyNumberFormat="1" applyFont="1" applyFill="1" applyBorder="1" applyAlignment="1">
      <protection locked="0"/>
    </xf>
    <xf numFmtId="3" fontId="22" fillId="4" borderId="13" xfId="4" applyNumberFormat="1" applyFont="1" applyFill="1" applyBorder="1" applyAlignment="1" applyProtection="1"/>
    <xf numFmtId="3" fontId="22" fillId="5" borderId="75" xfId="4" applyNumberFormat="1" applyFont="1" applyFill="1" applyBorder="1" applyAlignment="1">
      <protection locked="0"/>
    </xf>
    <xf numFmtId="3" fontId="22" fillId="5" borderId="60" xfId="4" applyNumberFormat="1" applyFont="1" applyFill="1" applyBorder="1" applyAlignment="1">
      <protection locked="0"/>
    </xf>
    <xf numFmtId="3" fontId="22" fillId="5" borderId="7" xfId="4" applyNumberFormat="1" applyFont="1" applyFill="1" applyBorder="1" applyAlignment="1">
      <protection locked="0"/>
    </xf>
    <xf numFmtId="3" fontId="22" fillId="7" borderId="57" xfId="2" applyNumberFormat="1" applyFont="1" applyFill="1" applyBorder="1" applyAlignment="1"/>
    <xf numFmtId="3" fontId="22" fillId="7" borderId="34" xfId="4" applyNumberFormat="1" applyFont="1" applyFill="1" applyBorder="1" applyAlignment="1" applyProtection="1"/>
    <xf numFmtId="3" fontId="22" fillId="7" borderId="35" xfId="2" applyNumberFormat="1" applyFont="1" applyFill="1" applyBorder="1" applyAlignment="1"/>
    <xf numFmtId="3" fontId="26" fillId="7" borderId="74" xfId="2" applyNumberFormat="1" applyFont="1" applyFill="1" applyBorder="1" applyAlignment="1"/>
    <xf numFmtId="3" fontId="22" fillId="4" borderId="34" xfId="4" applyNumberFormat="1" applyFont="1" applyFill="1" applyBorder="1" applyAlignment="1" applyProtection="1"/>
    <xf numFmtId="3" fontId="22" fillId="4" borderId="56" xfId="2" applyNumberFormat="1" applyFont="1" applyFill="1" applyBorder="1" applyAlignment="1"/>
    <xf numFmtId="3" fontId="22" fillId="7" borderId="12" xfId="2" applyNumberFormat="1" applyFont="1" applyFill="1" applyBorder="1" applyAlignment="1"/>
    <xf numFmtId="3" fontId="26" fillId="7" borderId="10" xfId="2" applyNumberFormat="1" applyFont="1" applyFill="1" applyBorder="1" applyAlignment="1"/>
    <xf numFmtId="0" fontId="27" fillId="3" borderId="4" xfId="2" applyNumberFormat="1" applyFont="1" applyFill="1" applyBorder="1" applyAlignment="1">
      <alignment horizontal="center" vertical="center" wrapText="1"/>
    </xf>
    <xf numFmtId="0" fontId="27" fillId="8" borderId="4" xfId="2" applyNumberFormat="1" applyFont="1" applyFill="1" applyBorder="1" applyAlignment="1">
      <alignment horizontal="center" vertical="center" wrapText="1"/>
    </xf>
    <xf numFmtId="164" fontId="22" fillId="4" borderId="47" xfId="2" applyNumberFormat="1" applyFont="1" applyFill="1" applyBorder="1" applyAlignment="1"/>
    <xf numFmtId="0" fontId="49" fillId="4" borderId="11" xfId="4" applyNumberFormat="1" applyFont="1" applyFill="1" applyBorder="1" applyAlignment="1" applyProtection="1">
      <alignment horizontal="center"/>
    </xf>
    <xf numFmtId="0" fontId="49" fillId="4" borderId="5" xfId="4" applyNumberFormat="1" applyFont="1" applyFill="1" applyBorder="1" applyAlignment="1" applyProtection="1">
      <alignment horizontal="center"/>
    </xf>
    <xf numFmtId="0" fontId="49" fillId="4" borderId="63" xfId="4" applyNumberFormat="1" applyFont="1" applyFill="1" applyBorder="1" applyAlignment="1" applyProtection="1">
      <alignment horizontal="center"/>
    </xf>
    <xf numFmtId="0" fontId="34" fillId="0" borderId="7" xfId="4" applyNumberFormat="1" applyFont="1" applyFill="1" applyBorder="1" applyAlignment="1">
      <alignment horizontal="left" vertical="top" wrapText="1"/>
      <protection locked="0"/>
    </xf>
    <xf numFmtId="0" fontId="34" fillId="0" borderId="4" xfId="4" applyNumberFormat="1" applyFont="1" applyFill="1" applyBorder="1" applyAlignment="1">
      <alignment horizontal="left" vertical="top" wrapText="1"/>
      <protection locked="0"/>
    </xf>
    <xf numFmtId="0" fontId="27" fillId="3" borderId="56" xfId="2" applyNumberFormat="1" applyFont="1" applyFill="1" applyBorder="1" applyAlignment="1">
      <alignment horizontal="center" vertical="center" wrapText="1"/>
    </xf>
    <xf numFmtId="0" fontId="0" fillId="0" borderId="9" xfId="2" applyNumberFormat="1" applyFont="1" applyFill="1" applyBorder="1" applyAlignment="1">
      <alignment wrapText="1"/>
    </xf>
    <xf numFmtId="0" fontId="37" fillId="3" borderId="7" xfId="2" applyNumberFormat="1" applyFont="1" applyFill="1" applyBorder="1" applyAlignment="1">
      <alignment horizontal="center" vertical="center" wrapText="1"/>
    </xf>
    <xf numFmtId="0" fontId="0" fillId="0" borderId="7" xfId="2" applyNumberFormat="1" applyFont="1" applyFill="1" applyBorder="1" applyAlignment="1"/>
    <xf numFmtId="0" fontId="49" fillId="4" borderId="33" xfId="2" applyNumberFormat="1" applyFont="1" applyFill="1" applyBorder="1" applyAlignment="1">
      <alignment horizontal="center" vertical="center"/>
    </xf>
    <xf numFmtId="0" fontId="0" fillId="4" borderId="52" xfId="2" applyNumberFormat="1" applyFont="1" applyFill="1" applyBorder="1" applyAlignment="1">
      <alignment horizontal="center" vertical="center"/>
    </xf>
    <xf numFmtId="0" fontId="27" fillId="0" borderId="9" xfId="2" applyNumberFormat="1" applyFont="1" applyFill="1" applyBorder="1" applyAlignment="1">
      <alignment horizontal="center" vertical="center" wrapText="1"/>
    </xf>
    <xf numFmtId="0" fontId="31" fillId="3" borderId="30" xfId="2"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2" fillId="2" borderId="0" xfId="2" applyNumberFormat="1" applyFont="1" applyFill="1" applyBorder="1" applyAlignment="1">
      <alignment horizontal="center" wrapText="1"/>
    </xf>
    <xf numFmtId="0" fontId="0" fillId="0" borderId="0" xfId="0" applyAlignment="1">
      <alignment horizontal="center" wrapText="1"/>
    </xf>
    <xf numFmtId="0" fontId="6" fillId="5" borderId="41" xfId="4" applyNumberFormat="1" applyFont="1" applyFill="1" applyBorder="1" applyAlignment="1">
      <alignment horizontal="left"/>
      <protection locked="0"/>
    </xf>
    <xf numFmtId="0" fontId="23" fillId="0" borderId="58" xfId="4" applyNumberFormat="1" applyFont="1" applyFill="1" applyBorder="1" applyAlignment="1">
      <alignment horizontal="left"/>
      <protection locked="0"/>
    </xf>
    <xf numFmtId="0" fontId="23" fillId="0" borderId="45" xfId="4" applyNumberFormat="1" applyFont="1" applyFill="1" applyBorder="1" applyAlignment="1">
      <alignment horizontal="left"/>
      <protection locked="0"/>
    </xf>
    <xf numFmtId="0" fontId="6" fillId="3" borderId="0" xfId="2" applyNumberFormat="1" applyFont="1" applyFill="1" applyBorder="1" applyAlignment="1">
      <alignment horizontal="left"/>
    </xf>
    <xf numFmtId="0" fontId="0" fillId="0" borderId="71" xfId="4" applyNumberFormat="1" applyFont="1" applyFill="1" applyBorder="1" applyAlignment="1">
      <alignment wrapText="1"/>
      <protection locked="0"/>
    </xf>
    <xf numFmtId="0" fontId="0" fillId="0" borderId="73" xfId="4" applyNumberFormat="1" applyFont="1" applyFill="1" applyBorder="1" applyAlignment="1">
      <alignment wrapText="1"/>
      <protection locked="0"/>
    </xf>
    <xf numFmtId="0" fontId="0" fillId="0" borderId="32" xfId="4" applyNumberFormat="1" applyFont="1" applyFill="1" applyBorder="1" applyAlignment="1">
      <alignment wrapText="1"/>
      <protection locked="0"/>
    </xf>
    <xf numFmtId="0" fontId="6" fillId="0" borderId="41" xfId="4" applyNumberFormat="1" applyFont="1" applyFill="1" applyBorder="1" applyAlignment="1">
      <alignment horizontal="left"/>
      <protection locked="0"/>
    </xf>
    <xf numFmtId="0" fontId="6" fillId="0" borderId="58" xfId="4" applyNumberFormat="1" applyFont="1" applyFill="1" applyBorder="1" applyAlignment="1">
      <alignment horizontal="left"/>
      <protection locked="0"/>
    </xf>
    <xf numFmtId="0" fontId="6" fillId="0" borderId="45" xfId="4" applyNumberFormat="1" applyFont="1" applyFill="1" applyBorder="1" applyAlignment="1">
      <alignment horizontal="left"/>
      <protection locked="0"/>
    </xf>
    <xf numFmtId="0" fontId="59" fillId="3" borderId="0" xfId="2" applyNumberFormat="1" applyFont="1" applyFill="1" applyBorder="1" applyAlignment="1">
      <alignment wrapText="1"/>
    </xf>
    <xf numFmtId="0" fontId="0" fillId="0" borderId="0" xfId="2" applyNumberFormat="1" applyFont="1" applyFill="1" applyBorder="1" applyAlignment="1">
      <alignment wrapText="1"/>
    </xf>
    <xf numFmtId="0" fontId="52" fillId="10" borderId="33" xfId="2" applyNumberFormat="1" applyFont="1" applyFill="1" applyBorder="1" applyAlignment="1">
      <alignment vertical="center" wrapText="1"/>
    </xf>
    <xf numFmtId="0" fontId="52" fillId="10" borderId="52" xfId="2" applyNumberFormat="1" applyFont="1" applyFill="1" applyBorder="1" applyAlignment="1">
      <alignment vertical="center" wrapText="1"/>
    </xf>
    <xf numFmtId="0" fontId="0" fillId="0" borderId="37" xfId="2" applyNumberFormat="1" applyFont="1" applyFill="1" applyBorder="1" applyAlignment="1">
      <alignment wrapText="1"/>
    </xf>
    <xf numFmtId="0" fontId="6" fillId="4" borderId="37" xfId="2" applyNumberFormat="1" applyFont="1" applyFill="1" applyBorder="1" applyAlignment="1">
      <alignment horizontal="center" vertical="center"/>
    </xf>
    <xf numFmtId="0" fontId="31" fillId="3" borderId="30" xfId="2" applyNumberFormat="1" applyFont="1" applyFill="1" applyBorder="1" applyAlignment="1">
      <alignment horizontal="center"/>
    </xf>
    <xf numFmtId="0" fontId="0" fillId="0" borderId="24" xfId="2" applyNumberFormat="1" applyFont="1" applyFill="1" applyBorder="1" applyAlignment="1">
      <alignment horizontal="center"/>
    </xf>
    <xf numFmtId="0" fontId="27" fillId="3" borderId="73" xfId="2" applyNumberFormat="1" applyFont="1" applyFill="1" applyBorder="1" applyAlignment="1">
      <alignment horizontal="center" vertical="center" wrapText="1"/>
    </xf>
    <xf numFmtId="0" fontId="27" fillId="3" borderId="32" xfId="2" applyNumberFormat="1" applyFont="1" applyFill="1" applyBorder="1" applyAlignment="1">
      <alignment horizontal="center" vertical="center" wrapText="1"/>
    </xf>
    <xf numFmtId="0" fontId="31" fillId="3" borderId="6" xfId="2" applyNumberFormat="1" applyFont="1" applyFill="1" applyBorder="1" applyAlignment="1">
      <alignment horizontal="center" vertical="center" wrapText="1"/>
    </xf>
    <xf numFmtId="0" fontId="31" fillId="3" borderId="0" xfId="2" applyNumberFormat="1" applyFont="1" applyFill="1" applyBorder="1" applyAlignment="1">
      <alignment horizontal="center" vertical="center" wrapText="1"/>
    </xf>
    <xf numFmtId="0" fontId="31" fillId="3" borderId="7" xfId="2" applyNumberFormat="1" applyFont="1" applyFill="1" applyBorder="1" applyAlignment="1">
      <alignment horizontal="center" vertical="center" wrapText="1"/>
    </xf>
    <xf numFmtId="0" fontId="49" fillId="0" borderId="71" xfId="4" applyNumberFormat="1" applyFont="1" applyFill="1" applyBorder="1" applyAlignment="1">
      <alignment horizontal="left" vertical="top" wrapText="1"/>
      <protection locked="0"/>
    </xf>
    <xf numFmtId="0" fontId="29" fillId="0" borderId="73" xfId="4" applyNumberFormat="1" applyFont="1" applyFill="1" applyBorder="1" applyAlignment="1">
      <alignment horizontal="left" vertical="top" wrapText="1"/>
      <protection locked="0"/>
    </xf>
    <xf numFmtId="0" fontId="29" fillId="0" borderId="32" xfId="4" applyNumberFormat="1" applyFont="1" applyFill="1" applyBorder="1" applyAlignment="1">
      <alignment horizontal="left" vertical="top" wrapText="1"/>
      <protection locked="0"/>
    </xf>
    <xf numFmtId="0" fontId="27" fillId="3" borderId="6" xfId="2" applyNumberFormat="1" applyFont="1" applyFill="1" applyBorder="1" applyAlignment="1">
      <alignment horizontal="center" vertical="center" wrapText="1"/>
    </xf>
    <xf numFmtId="0" fontId="27" fillId="0" borderId="6" xfId="2" applyNumberFormat="1" applyFont="1" applyFill="1" applyBorder="1" applyAlignment="1">
      <alignment horizontal="center" vertical="center" wrapText="1"/>
    </xf>
    <xf numFmtId="0" fontId="29" fillId="0" borderId="67" xfId="4" applyNumberFormat="1" applyFont="1" applyFill="1" applyBorder="1" applyAlignment="1">
      <alignment horizontal="center" vertical="center" wrapText="1"/>
      <protection locked="0"/>
    </xf>
    <xf numFmtId="0" fontId="0" fillId="0" borderId="52" xfId="4" applyNumberFormat="1" applyFont="1" applyFill="1" applyBorder="1" applyAlignment="1">
      <alignment horizontal="center" wrapText="1"/>
      <protection locked="0"/>
    </xf>
    <xf numFmtId="0" fontId="0" fillId="0" borderId="37" xfId="4" applyNumberFormat="1" applyFont="1" applyFill="1" applyBorder="1" applyAlignment="1">
      <alignment horizontal="center" wrapText="1"/>
      <protection locked="0"/>
    </xf>
    <xf numFmtId="0" fontId="22" fillId="3" borderId="33" xfId="2" applyNumberFormat="1" applyFont="1" applyFill="1" applyBorder="1" applyAlignment="1">
      <alignment horizontal="right" vertical="center" wrapText="1"/>
    </xf>
    <xf numFmtId="0" fontId="22" fillId="3" borderId="52" xfId="2" applyNumberFormat="1" applyFont="1" applyFill="1" applyBorder="1" applyAlignment="1">
      <alignment horizontal="right" vertical="center" wrapText="1"/>
    </xf>
    <xf numFmtId="0" fontId="22" fillId="3" borderId="70" xfId="2" applyNumberFormat="1" applyFont="1" applyFill="1" applyBorder="1" applyAlignment="1">
      <alignment horizontal="right" vertical="center" wrapText="1"/>
    </xf>
    <xf numFmtId="0" fontId="29" fillId="3" borderId="33" xfId="2" applyNumberFormat="1" applyFont="1" applyFill="1" applyBorder="1" applyAlignment="1">
      <alignment horizontal="left" vertical="center" wrapText="1"/>
    </xf>
    <xf numFmtId="0" fontId="29" fillId="3" borderId="52" xfId="2" applyNumberFormat="1" applyFont="1" applyFill="1" applyBorder="1" applyAlignment="1">
      <alignment horizontal="left" vertical="center" wrapText="1"/>
    </xf>
    <xf numFmtId="0" fontId="29" fillId="3" borderId="70" xfId="2" applyNumberFormat="1" applyFont="1" applyFill="1" applyBorder="1" applyAlignment="1">
      <alignment horizontal="left" vertical="center" wrapText="1"/>
    </xf>
    <xf numFmtId="0" fontId="29" fillId="3" borderId="33" xfId="2" applyNumberFormat="1" applyFont="1" applyFill="1" applyBorder="1" applyAlignment="1">
      <alignment horizontal="right" vertical="center" wrapText="1"/>
    </xf>
    <xf numFmtId="0" fontId="29" fillId="3" borderId="52" xfId="2" applyNumberFormat="1" applyFont="1" applyFill="1" applyBorder="1" applyAlignment="1">
      <alignment horizontal="right" vertical="center" wrapText="1"/>
    </xf>
    <xf numFmtId="0" fontId="29" fillId="3" borderId="70" xfId="2" applyNumberFormat="1" applyFont="1" applyFill="1" applyBorder="1" applyAlignment="1">
      <alignment horizontal="right" vertical="center" wrapText="1"/>
    </xf>
    <xf numFmtId="0" fontId="52" fillId="10" borderId="33" xfId="2" applyNumberFormat="1" applyFont="1" applyFill="1" applyBorder="1" applyAlignment="1">
      <alignment vertical="center"/>
    </xf>
    <xf numFmtId="0" fontId="0" fillId="0" borderId="52" xfId="2" applyNumberFormat="1" applyFont="1" applyFill="1" applyBorder="1" applyAlignment="1"/>
    <xf numFmtId="0" fontId="0" fillId="0" borderId="37" xfId="2" applyNumberFormat="1" applyFont="1" applyFill="1" applyBorder="1" applyAlignment="1"/>
    <xf numFmtId="0" fontId="27" fillId="3" borderId="62" xfId="2" applyNumberFormat="1" applyFont="1" applyFill="1" applyBorder="1" applyAlignment="1">
      <alignment horizontal="center" vertical="top" wrapText="1"/>
    </xf>
    <xf numFmtId="0" fontId="24" fillId="0" borderId="9" xfId="2" applyNumberFormat="1" applyFont="1" applyFill="1" applyBorder="1" applyAlignment="1">
      <alignment horizontal="center" vertical="top" wrapText="1"/>
    </xf>
    <xf numFmtId="0" fontId="24" fillId="0" borderId="9" xfId="2" applyNumberFormat="1" applyFont="1" applyFill="1" applyBorder="1" applyAlignment="1">
      <alignment vertical="top" wrapText="1"/>
    </xf>
    <xf numFmtId="0" fontId="26" fillId="3" borderId="23" xfId="2" applyNumberFormat="1" applyFont="1" applyFill="1" applyBorder="1" applyAlignment="1">
      <alignment horizontal="center"/>
    </xf>
    <xf numFmtId="0" fontId="0" fillId="0" borderId="23" xfId="2" applyNumberFormat="1" applyFont="1" applyFill="1" applyBorder="1" applyAlignment="1">
      <alignment horizontal="center"/>
    </xf>
    <xf numFmtId="0" fontId="27" fillId="3" borderId="30" xfId="2" applyNumberFormat="1" applyFont="1" applyFill="1" applyBorder="1" applyAlignment="1">
      <alignment horizontal="right" vertical="center"/>
    </xf>
    <xf numFmtId="0" fontId="27" fillId="3" borderId="23" xfId="2" applyNumberFormat="1" applyFont="1" applyFill="1" applyBorder="1" applyAlignment="1">
      <alignment horizontal="right" vertical="center"/>
    </xf>
    <xf numFmtId="0" fontId="27" fillId="3" borderId="48" xfId="2" applyNumberFormat="1" applyFont="1" applyFill="1" applyBorder="1" applyAlignment="1">
      <alignment horizontal="right" vertical="center"/>
    </xf>
    <xf numFmtId="0" fontId="27" fillId="3" borderId="1" xfId="2" applyNumberFormat="1" applyFont="1" applyFill="1" applyBorder="1" applyAlignment="1"/>
    <xf numFmtId="0" fontId="27" fillId="3" borderId="2" xfId="2" applyNumberFormat="1" applyFont="1" applyFill="1" applyBorder="1" applyAlignment="1"/>
    <xf numFmtId="0" fontId="27" fillId="3" borderId="10" xfId="2" applyNumberFormat="1" applyFont="1" applyFill="1" applyBorder="1" applyAlignment="1"/>
    <xf numFmtId="0" fontId="29" fillId="0" borderId="41" xfId="4" applyNumberFormat="1" applyFont="1" applyFill="1" applyBorder="1" applyAlignment="1">
      <alignment horizontal="center" wrapText="1"/>
      <protection locked="0"/>
    </xf>
    <xf numFmtId="0" fontId="29" fillId="0" borderId="58" xfId="4" applyNumberFormat="1" applyFont="1" applyFill="1" applyBorder="1" applyAlignment="1">
      <alignment horizontal="center" wrapText="1"/>
      <protection locked="0"/>
    </xf>
    <xf numFmtId="0" fontId="29" fillId="0" borderId="45" xfId="4" applyNumberFormat="1" applyFont="1" applyFill="1" applyBorder="1" applyAlignment="1">
      <alignment horizontal="center" wrapText="1"/>
      <protection locked="0"/>
    </xf>
    <xf numFmtId="0" fontId="27" fillId="3" borderId="33" xfId="2" applyNumberFormat="1" applyFont="1" applyFill="1" applyBorder="1" applyAlignment="1">
      <alignment vertical="center" wrapText="1"/>
    </xf>
    <xf numFmtId="0" fontId="27" fillId="3" borderId="52" xfId="2" applyNumberFormat="1" applyFont="1" applyFill="1" applyBorder="1" applyAlignment="1">
      <alignment vertical="center" wrapText="1"/>
    </xf>
    <xf numFmtId="0" fontId="27" fillId="3" borderId="70" xfId="2" applyNumberFormat="1" applyFont="1" applyFill="1" applyBorder="1" applyAlignment="1">
      <alignment vertical="center" wrapText="1"/>
    </xf>
    <xf numFmtId="0" fontId="27" fillId="3" borderId="66" xfId="2" applyNumberFormat="1" applyFont="1" applyFill="1" applyBorder="1" applyAlignment="1">
      <alignment vertical="top" wrapText="1"/>
    </xf>
    <xf numFmtId="0" fontId="24" fillId="0" borderId="49" xfId="2" applyNumberFormat="1" applyFont="1" applyFill="1" applyBorder="1" applyAlignment="1">
      <alignment wrapText="1"/>
    </xf>
    <xf numFmtId="0" fontId="27" fillId="3" borderId="66" xfId="2" applyNumberFormat="1" applyFont="1" applyFill="1" applyBorder="1" applyAlignment="1">
      <alignment horizontal="center" vertical="top" wrapText="1"/>
    </xf>
    <xf numFmtId="0" fontId="24" fillId="0" borderId="49" xfId="2" applyNumberFormat="1" applyFont="1" applyFill="1" applyBorder="1" applyAlignment="1">
      <alignment horizontal="center" wrapText="1"/>
    </xf>
    <xf numFmtId="0" fontId="29" fillId="3" borderId="33" xfId="2" applyNumberFormat="1" applyFont="1" applyFill="1" applyBorder="1" applyAlignment="1">
      <alignment vertical="center" wrapText="1"/>
    </xf>
    <xf numFmtId="0" fontId="29" fillId="3" borderId="52" xfId="2" applyNumberFormat="1" applyFont="1" applyFill="1" applyBorder="1" applyAlignment="1">
      <alignment vertical="center" wrapText="1"/>
    </xf>
    <xf numFmtId="0" fontId="29" fillId="3" borderId="70" xfId="2" applyNumberFormat="1" applyFont="1" applyFill="1" applyBorder="1" applyAlignment="1">
      <alignment vertical="center" wrapText="1"/>
    </xf>
    <xf numFmtId="0" fontId="29" fillId="3" borderId="53" xfId="2" applyNumberFormat="1" applyFont="1" applyFill="1" applyBorder="1" applyAlignment="1">
      <alignment horizontal="right" vertical="center" wrapText="1"/>
    </xf>
    <xf numFmtId="0" fontId="29" fillId="3" borderId="3" xfId="2" applyNumberFormat="1" applyFont="1" applyFill="1" applyBorder="1" applyAlignment="1">
      <alignment horizontal="right" vertical="center" wrapText="1"/>
    </xf>
    <xf numFmtId="0" fontId="29" fillId="3" borderId="42" xfId="2" applyNumberFormat="1" applyFont="1" applyFill="1" applyBorder="1" applyAlignment="1">
      <alignment horizontal="right" vertical="center" wrapText="1"/>
    </xf>
    <xf numFmtId="0" fontId="29" fillId="3" borderId="68" xfId="2" applyNumberFormat="1" applyFont="1" applyFill="1" applyBorder="1" applyAlignment="1">
      <alignment horizontal="right" vertical="center" wrapText="1"/>
    </xf>
    <xf numFmtId="0" fontId="29" fillId="3" borderId="42" xfId="2" applyNumberFormat="1" applyFont="1" applyFill="1" applyBorder="1" applyAlignment="1">
      <alignment vertical="center" wrapText="1"/>
    </xf>
    <xf numFmtId="0" fontId="29" fillId="3" borderId="68" xfId="2" applyNumberFormat="1" applyFont="1" applyFill="1" applyBorder="1" applyAlignment="1">
      <alignment vertical="center" wrapText="1"/>
    </xf>
    <xf numFmtId="0" fontId="29" fillId="3" borderId="43" xfId="2" applyNumberFormat="1" applyFont="1" applyFill="1" applyBorder="1" applyAlignment="1">
      <alignment vertical="center" wrapText="1"/>
    </xf>
    <xf numFmtId="0" fontId="29" fillId="3" borderId="69" xfId="2" applyNumberFormat="1" applyFont="1" applyFill="1" applyBorder="1" applyAlignment="1">
      <alignment vertical="center" wrapText="1"/>
    </xf>
    <xf numFmtId="0" fontId="27" fillId="3" borderId="37" xfId="2" applyNumberFormat="1" applyFont="1" applyFill="1" applyBorder="1" applyAlignment="1">
      <alignment vertical="center" wrapText="1"/>
    </xf>
    <xf numFmtId="0" fontId="29" fillId="3" borderId="11" xfId="2" applyNumberFormat="1" applyFont="1" applyFill="1" applyBorder="1" applyAlignment="1">
      <alignment horizontal="right" vertical="center" wrapText="1"/>
    </xf>
    <xf numFmtId="0" fontId="29" fillId="3" borderId="18" xfId="2" applyNumberFormat="1" applyFont="1" applyFill="1" applyBorder="1" applyAlignment="1">
      <alignment horizontal="right" vertical="center" wrapText="1"/>
    </xf>
    <xf numFmtId="0" fontId="29" fillId="3" borderId="12" xfId="2" applyNumberFormat="1" applyFont="1" applyFill="1" applyBorder="1" applyAlignment="1">
      <alignment horizontal="right" vertical="center" wrapText="1"/>
    </xf>
    <xf numFmtId="0" fontId="29" fillId="3" borderId="38" xfId="2" applyNumberFormat="1" applyFont="1" applyFill="1" applyBorder="1" applyAlignment="1">
      <alignment horizontal="right" vertical="center" wrapText="1"/>
    </xf>
    <xf numFmtId="0" fontId="52" fillId="10" borderId="37" xfId="2" applyNumberFormat="1" applyFont="1" applyFill="1" applyBorder="1" applyAlignment="1">
      <alignment vertical="center" wrapText="1"/>
    </xf>
    <xf numFmtId="0" fontId="29" fillId="3" borderId="25" xfId="2" applyNumberFormat="1" applyFont="1" applyFill="1" applyBorder="1" applyAlignment="1">
      <alignment vertical="center" wrapText="1"/>
    </xf>
    <xf numFmtId="0" fontId="29" fillId="3" borderId="26" xfId="2" applyNumberFormat="1" applyFont="1" applyFill="1" applyBorder="1" applyAlignment="1">
      <alignment vertical="center" wrapText="1"/>
    </xf>
    <xf numFmtId="0" fontId="29" fillId="5" borderId="42" xfId="4" applyNumberFormat="1" applyFont="1" applyFill="1" applyBorder="1" applyAlignment="1">
      <alignment vertical="center" wrapText="1"/>
      <protection locked="0"/>
    </xf>
    <xf numFmtId="0" fontId="29" fillId="5" borderId="58" xfId="4" applyNumberFormat="1" applyFont="1" applyFill="1" applyBorder="1" applyAlignment="1">
      <alignment vertical="center" wrapText="1"/>
      <protection locked="0"/>
    </xf>
    <xf numFmtId="0" fontId="29" fillId="5" borderId="68" xfId="4" applyNumberFormat="1" applyFont="1" applyFill="1" applyBorder="1" applyAlignment="1">
      <alignment vertical="center" wrapText="1"/>
      <protection locked="0"/>
    </xf>
    <xf numFmtId="0" fontId="0" fillId="5" borderId="28" xfId="4" applyNumberFormat="1" applyFont="1" applyFill="1" applyBorder="1" applyAlignment="1">
      <protection locked="0"/>
    </xf>
    <xf numFmtId="0" fontId="0" fillId="0" borderId="29" xfId="4" applyNumberFormat="1" applyFont="1" applyFill="1" applyBorder="1" applyAlignment="1">
      <protection locked="0"/>
    </xf>
    <xf numFmtId="0" fontId="29" fillId="3" borderId="28" xfId="2" applyNumberFormat="1" applyFont="1" applyFill="1" applyBorder="1" applyAlignment="1">
      <alignment horizontal="right" vertical="center" wrapText="1"/>
    </xf>
    <xf numFmtId="0" fontId="0" fillId="0" borderId="29" xfId="2" applyNumberFormat="1" applyFont="1" applyFill="1" applyBorder="1" applyAlignment="1">
      <alignment vertical="center" wrapText="1"/>
    </xf>
    <xf numFmtId="0" fontId="44" fillId="3" borderId="33" xfId="2" applyNumberFormat="1" applyFont="1" applyFill="1" applyBorder="1" applyAlignment="1">
      <alignment horizontal="center" vertical="center" wrapText="1"/>
    </xf>
    <xf numFmtId="0" fontId="44" fillId="3" borderId="52" xfId="2" applyNumberFormat="1" applyFont="1" applyFill="1" applyBorder="1" applyAlignment="1">
      <alignment horizontal="center" vertical="center" wrapText="1"/>
    </xf>
    <xf numFmtId="0" fontId="44" fillId="3" borderId="37" xfId="2" applyNumberFormat="1" applyFont="1" applyFill="1" applyBorder="1" applyAlignment="1">
      <alignment horizontal="center" vertical="center" wrapText="1"/>
    </xf>
    <xf numFmtId="0" fontId="44" fillId="0" borderId="52" xfId="2" applyNumberFormat="1" applyFont="1" applyFill="1" applyBorder="1" applyAlignment="1">
      <alignment horizontal="center" vertical="center" wrapText="1"/>
    </xf>
    <xf numFmtId="0" fontId="44" fillId="0" borderId="37" xfId="2" applyNumberFormat="1" applyFont="1" applyFill="1" applyBorder="1" applyAlignment="1">
      <alignment horizontal="center" vertical="center" wrapText="1"/>
    </xf>
    <xf numFmtId="0" fontId="44" fillId="3" borderId="33" xfId="2" applyNumberFormat="1" applyFont="1" applyFill="1" applyBorder="1" applyAlignment="1">
      <alignment horizontal="center" vertical="center"/>
    </xf>
    <xf numFmtId="0" fontId="0" fillId="0" borderId="52" xfId="2" applyNumberFormat="1" applyFont="1" applyFill="1" applyBorder="1" applyAlignment="1">
      <alignment horizontal="center" vertical="center"/>
    </xf>
    <xf numFmtId="0" fontId="0" fillId="0" borderId="37" xfId="2" applyNumberFormat="1" applyFont="1" applyFill="1" applyBorder="1" applyAlignment="1">
      <alignment horizontal="center" vertical="center"/>
    </xf>
    <xf numFmtId="0" fontId="0" fillId="0" borderId="43" xfId="4" applyNumberFormat="1" applyFont="1" applyFill="1" applyBorder="1" applyAlignment="1">
      <alignment vertical="center" wrapText="1"/>
      <protection locked="0"/>
    </xf>
    <xf numFmtId="0" fontId="0" fillId="0" borderId="65" xfId="4" applyNumberFormat="1" applyFont="1" applyFill="1" applyBorder="1" applyAlignment="1">
      <alignment vertical="center" wrapText="1"/>
      <protection locked="0"/>
    </xf>
    <xf numFmtId="0" fontId="0" fillId="0" borderId="69" xfId="4" applyNumberFormat="1" applyFont="1" applyFill="1" applyBorder="1" applyAlignment="1">
      <alignment vertical="center" wrapText="1"/>
      <protection locked="0"/>
    </xf>
    <xf numFmtId="0" fontId="44" fillId="5" borderId="42" xfId="4" applyNumberFormat="1" applyFont="1" applyFill="1" applyBorder="1" applyAlignment="1">
      <alignment horizontal="center"/>
      <protection locked="0"/>
    </xf>
    <xf numFmtId="0" fontId="44" fillId="5" borderId="58" xfId="4" applyNumberFormat="1" applyFont="1" applyFill="1" applyBorder="1" applyAlignment="1">
      <alignment horizontal="center"/>
      <protection locked="0"/>
    </xf>
    <xf numFmtId="0" fontId="44" fillId="5" borderId="68" xfId="4" applyNumberFormat="1" applyFont="1" applyFill="1" applyBorder="1" applyAlignment="1">
      <alignment horizontal="center"/>
      <protection locked="0"/>
    </xf>
    <xf numFmtId="0" fontId="29" fillId="5" borderId="25" xfId="4" applyNumberFormat="1" applyFont="1" applyFill="1" applyBorder="1" applyAlignment="1">
      <alignment horizontal="center" vertical="center" wrapText="1"/>
      <protection locked="0"/>
    </xf>
    <xf numFmtId="0" fontId="0" fillId="0" borderId="19" xfId="4" applyNumberFormat="1" applyFont="1" applyFill="1" applyBorder="1" applyAlignment="1">
      <alignment horizontal="center" vertical="center" wrapText="1"/>
      <protection locked="0"/>
    </xf>
    <xf numFmtId="0" fontId="0" fillId="0" borderId="26" xfId="4" applyNumberFormat="1" applyFont="1" applyFill="1" applyBorder="1" applyAlignment="1">
      <alignment horizontal="center" vertical="center" wrapText="1"/>
      <protection locked="0"/>
    </xf>
    <xf numFmtId="0" fontId="29" fillId="5" borderId="77" xfId="4" applyNumberFormat="1" applyFont="1" applyFill="1" applyBorder="1" applyAlignment="1">
      <alignment horizontal="center" vertical="center" wrapText="1"/>
      <protection locked="0"/>
    </xf>
    <xf numFmtId="0" fontId="0" fillId="0" borderId="51" xfId="4" applyNumberFormat="1" applyFont="1" applyFill="1" applyBorder="1" applyAlignment="1">
      <alignment horizontal="center" vertical="center" wrapText="1"/>
      <protection locked="0"/>
    </xf>
    <xf numFmtId="0" fontId="0" fillId="0" borderId="64" xfId="4" applyNumberFormat="1" applyFont="1" applyFill="1" applyBorder="1" applyAlignment="1">
      <alignment horizontal="center" vertical="center" wrapText="1"/>
      <protection locked="0"/>
    </xf>
    <xf numFmtId="0" fontId="29" fillId="5" borderId="42" xfId="4" applyNumberFormat="1" applyFont="1" applyFill="1" applyBorder="1" applyAlignment="1">
      <alignment horizontal="center" vertical="center" wrapText="1"/>
      <protection locked="0"/>
    </xf>
    <xf numFmtId="0" fontId="0" fillId="0" borderId="58" xfId="4" applyNumberFormat="1" applyFont="1" applyFill="1" applyBorder="1" applyAlignment="1">
      <alignment horizontal="center" vertical="center" wrapText="1"/>
      <protection locked="0"/>
    </xf>
    <xf numFmtId="0" fontId="0" fillId="0" borderId="68" xfId="4" applyNumberFormat="1" applyFont="1" applyFill="1" applyBorder="1" applyAlignment="1">
      <alignment horizontal="center" vertical="center" wrapText="1"/>
      <protection locked="0"/>
    </xf>
    <xf numFmtId="0" fontId="44" fillId="3" borderId="33" xfId="2" applyNumberFormat="1" applyFont="1" applyFill="1" applyBorder="1" applyAlignment="1">
      <alignment horizontal="center"/>
    </xf>
    <xf numFmtId="0" fontId="44" fillId="0" borderId="52" xfId="2" applyNumberFormat="1" applyFont="1" applyFill="1" applyBorder="1" applyAlignment="1">
      <alignment horizontal="center"/>
    </xf>
    <xf numFmtId="0" fontId="44" fillId="0" borderId="37" xfId="2" applyNumberFormat="1" applyFont="1" applyFill="1" applyBorder="1" applyAlignment="1">
      <alignment horizontal="center"/>
    </xf>
    <xf numFmtId="0" fontId="44" fillId="5" borderId="25" xfId="4" applyNumberFormat="1" applyFont="1" applyFill="1" applyBorder="1" applyAlignment="1">
      <alignment horizontal="center"/>
      <protection locked="0"/>
    </xf>
    <xf numFmtId="0" fontId="44" fillId="5" borderId="19" xfId="4" applyNumberFormat="1" applyFont="1" applyFill="1" applyBorder="1" applyAlignment="1">
      <alignment horizontal="center"/>
      <protection locked="0"/>
    </xf>
    <xf numFmtId="0" fontId="44" fillId="5" borderId="26" xfId="4" applyNumberFormat="1" applyFont="1" applyFill="1" applyBorder="1" applyAlignment="1">
      <alignment horizontal="center"/>
      <protection locked="0"/>
    </xf>
    <xf numFmtId="0" fontId="29" fillId="5" borderId="25" xfId="4" applyNumberFormat="1" applyFont="1" applyFill="1" applyBorder="1" applyAlignment="1">
      <alignment vertical="center" wrapText="1"/>
      <protection locked="0"/>
    </xf>
    <xf numFmtId="0" fontId="29" fillId="5" borderId="19" xfId="4" applyNumberFormat="1" applyFont="1" applyFill="1" applyBorder="1" applyAlignment="1">
      <alignment vertical="center" wrapText="1"/>
      <protection locked="0"/>
    </xf>
    <xf numFmtId="0" fontId="29" fillId="5" borderId="26" xfId="4" applyNumberFormat="1" applyFont="1" applyFill="1" applyBorder="1" applyAlignment="1">
      <alignment vertical="center" wrapText="1"/>
      <protection locked="0"/>
    </xf>
    <xf numFmtId="0" fontId="29" fillId="5" borderId="53" xfId="4" applyNumberFormat="1" applyFont="1" applyFill="1" applyBorder="1" applyAlignment="1">
      <alignment horizontal="center" vertical="center" wrapText="1"/>
      <protection locked="0"/>
    </xf>
    <xf numFmtId="0" fontId="0" fillId="0" borderId="9" xfId="4" applyNumberFormat="1" applyFont="1" applyFill="1" applyBorder="1" applyAlignment="1">
      <alignment vertical="center" wrapText="1"/>
      <protection locked="0"/>
    </xf>
    <xf numFmtId="0" fontId="0" fillId="0" borderId="49" xfId="4" applyNumberFormat="1" applyFont="1" applyFill="1" applyBorder="1" applyAlignment="1">
      <alignment vertical="center" wrapText="1"/>
      <protection locked="0"/>
    </xf>
    <xf numFmtId="0" fontId="9" fillId="3" borderId="33" xfId="2" applyNumberFormat="1" applyFont="1" applyFill="1" applyBorder="1" applyAlignment="1">
      <alignment horizontal="center" vertical="center" wrapText="1"/>
    </xf>
    <xf numFmtId="0" fontId="74" fillId="0" borderId="52" xfId="2" applyNumberFormat="1" applyFont="1" applyFill="1" applyBorder="1" applyAlignment="1">
      <alignment horizontal="center" vertical="center" wrapText="1"/>
    </xf>
    <xf numFmtId="0" fontId="74" fillId="0" borderId="37" xfId="2" applyNumberFormat="1" applyFont="1" applyFill="1" applyBorder="1" applyAlignment="1">
      <alignment horizontal="center" vertical="center" wrapText="1"/>
    </xf>
    <xf numFmtId="0" fontId="29" fillId="5" borderId="58" xfId="4" applyNumberFormat="1" applyFont="1" applyFill="1" applyBorder="1" applyAlignment="1">
      <alignment horizontal="center" vertical="center" wrapText="1"/>
      <protection locked="0"/>
    </xf>
    <xf numFmtId="0" fontId="29" fillId="5" borderId="68" xfId="4" applyNumberFormat="1" applyFont="1" applyFill="1" applyBorder="1" applyAlignment="1">
      <alignment horizontal="center" vertical="center" wrapText="1"/>
      <protection locked="0"/>
    </xf>
    <xf numFmtId="0" fontId="0" fillId="0" borderId="37" xfId="2" applyNumberFormat="1" applyFont="1" applyFill="1" applyBorder="1" applyAlignment="1">
      <alignment vertical="center" wrapText="1"/>
    </xf>
    <xf numFmtId="0" fontId="70" fillId="3" borderId="52" xfId="2" applyNumberFormat="1" applyFont="1" applyFill="1" applyBorder="1" applyAlignment="1">
      <alignment horizontal="center" vertical="center" wrapText="1"/>
    </xf>
    <xf numFmtId="0" fontId="70" fillId="3" borderId="37" xfId="2" applyNumberFormat="1" applyFont="1" applyFill="1" applyBorder="1" applyAlignment="1">
      <alignment horizontal="center" vertical="center" wrapText="1"/>
    </xf>
    <xf numFmtId="0" fontId="29" fillId="5" borderId="1" xfId="4" applyNumberFormat="1" applyFont="1" applyFill="1" applyBorder="1" applyAlignment="1">
      <alignment horizontal="center" vertical="center" wrapText="1"/>
      <protection locked="0"/>
    </xf>
    <xf numFmtId="0" fontId="0" fillId="0" borderId="2" xfId="4" applyNumberFormat="1" applyFont="1" applyFill="1" applyBorder="1" applyAlignment="1">
      <alignment horizontal="center" vertical="center" wrapText="1"/>
      <protection locked="0"/>
    </xf>
    <xf numFmtId="0" fontId="0" fillId="0" borderId="4" xfId="4" applyNumberFormat="1" applyFont="1" applyFill="1" applyBorder="1" applyAlignment="1">
      <alignment horizontal="center" vertical="center" wrapText="1"/>
      <protection locked="0"/>
    </xf>
    <xf numFmtId="0" fontId="29" fillId="5" borderId="11" xfId="4" applyNumberFormat="1" applyFont="1" applyFill="1" applyBorder="1" applyAlignment="1">
      <alignment horizontal="center" vertical="center" wrapText="1"/>
      <protection locked="0"/>
    </xf>
    <xf numFmtId="0" fontId="0" fillId="0" borderId="5" xfId="4" applyNumberFormat="1" applyFont="1" applyFill="1" applyBorder="1" applyAlignment="1">
      <alignment vertical="center" wrapText="1"/>
      <protection locked="0"/>
    </xf>
    <xf numFmtId="0" fontId="0" fillId="0" borderId="63" xfId="4" applyNumberFormat="1" applyFont="1" applyFill="1" applyBorder="1" applyAlignment="1">
      <alignment vertical="center" wrapText="1"/>
      <protection locked="0"/>
    </xf>
    <xf numFmtId="0" fontId="29" fillId="5" borderId="20" xfId="4" applyNumberFormat="1" applyFont="1" applyFill="1" applyBorder="1" applyAlignment="1">
      <alignment horizontal="center" vertical="center" wrapText="1"/>
      <protection locked="0"/>
    </xf>
    <xf numFmtId="0" fontId="0" fillId="0" borderId="13" xfId="4" applyNumberFormat="1" applyFont="1" applyFill="1" applyBorder="1" applyAlignment="1">
      <alignment vertical="center" wrapText="1"/>
      <protection locked="0"/>
    </xf>
    <xf numFmtId="0" fontId="0" fillId="0" borderId="14" xfId="4" applyNumberFormat="1" applyFont="1" applyFill="1" applyBorder="1" applyAlignment="1">
      <alignment vertical="center" wrapText="1"/>
      <protection locked="0"/>
    </xf>
    <xf numFmtId="0" fontId="31" fillId="3" borderId="0" xfId="0" applyFont="1" applyFill="1" applyAlignment="1">
      <alignment horizontal="center" vertical="center" wrapText="1"/>
    </xf>
    <xf numFmtId="0" fontId="95" fillId="0" borderId="0" xfId="0" applyFont="1" applyAlignment="1">
      <alignment horizontal="center" vertical="center" wrapText="1"/>
    </xf>
    <xf numFmtId="0" fontId="0" fillId="0" borderId="0" xfId="0" applyAlignment="1">
      <alignment horizontal="center" vertical="center" wrapText="1"/>
    </xf>
    <xf numFmtId="0" fontId="26" fillId="3" borderId="71" xfId="0" applyFont="1" applyFill="1" applyBorder="1" applyAlignment="1">
      <alignment wrapText="1"/>
    </xf>
    <xf numFmtId="0" fontId="0" fillId="0" borderId="32" xfId="0" applyBorder="1"/>
    <xf numFmtId="0" fontId="44" fillId="3" borderId="71" xfId="0" applyFont="1" applyFill="1" applyBorder="1" applyAlignment="1">
      <alignment horizontal="center" vertical="center" wrapText="1"/>
    </xf>
    <xf numFmtId="0" fontId="70" fillId="0" borderId="32" xfId="0" applyFont="1" applyBorder="1" applyAlignment="1">
      <alignment horizontal="center" vertical="center" wrapText="1"/>
    </xf>
    <xf numFmtId="0" fontId="0" fillId="0" borderId="32" xfId="0" applyBorder="1" applyAlignment="1">
      <alignment wrapText="1"/>
    </xf>
    <xf numFmtId="0" fontId="70" fillId="0" borderId="32" xfId="0" applyFont="1" applyBorder="1" applyAlignment="1">
      <alignment horizontal="center" wrapText="1"/>
    </xf>
    <xf numFmtId="0" fontId="22" fillId="5" borderId="41" xfId="4" applyNumberFormat="1" applyFont="1" applyFill="1" applyBorder="1" applyAlignment="1">
      <protection locked="0"/>
    </xf>
    <xf numFmtId="0" fontId="22" fillId="5" borderId="58" xfId="4" applyNumberFormat="1" applyFont="1" applyFill="1" applyBorder="1" applyAlignment="1">
      <protection locked="0"/>
    </xf>
    <xf numFmtId="0" fontId="22" fillId="5" borderId="68" xfId="4" applyNumberFormat="1" applyFont="1" applyFill="1" applyBorder="1" applyAlignment="1">
      <protection locked="0"/>
    </xf>
    <xf numFmtId="0" fontId="26" fillId="3" borderId="0" xfId="2" applyNumberFormat="1" applyFont="1" applyFill="1" applyBorder="1" applyAlignment="1"/>
    <xf numFmtId="0" fontId="22" fillId="5" borderId="3" xfId="4" applyNumberFormat="1" applyFont="1" applyFill="1" applyBorder="1" applyAlignment="1">
      <protection locked="0"/>
    </xf>
    <xf numFmtId="0" fontId="22" fillId="5" borderId="2" xfId="4" applyNumberFormat="1" applyFont="1" applyFill="1" applyBorder="1" applyAlignment="1">
      <protection locked="0"/>
    </xf>
    <xf numFmtId="0" fontId="22" fillId="5" borderId="4" xfId="4" applyNumberFormat="1" applyFont="1" applyFill="1" applyBorder="1" applyAlignment="1">
      <protection locked="0"/>
    </xf>
    <xf numFmtId="0" fontId="26" fillId="5" borderId="9" xfId="4" applyNumberFormat="1" applyFont="1" applyFill="1" applyBorder="1" applyAlignment="1">
      <protection locked="0"/>
    </xf>
    <xf numFmtId="0" fontId="26" fillId="5" borderId="49" xfId="4" applyNumberFormat="1" applyFont="1" applyFill="1" applyBorder="1" applyAlignment="1">
      <protection locked="0"/>
    </xf>
    <xf numFmtId="0" fontId="22" fillId="3" borderId="0" xfId="2" applyNumberFormat="1" applyFont="1" applyFill="1" applyBorder="1" applyAlignment="1"/>
    <xf numFmtId="0" fontId="22" fillId="5" borderId="41" xfId="4" applyNumberFormat="1" applyFont="1" applyFill="1" applyBorder="1" applyAlignment="1">
      <alignment horizontal="center"/>
      <protection locked="0"/>
    </xf>
    <xf numFmtId="0" fontId="0" fillId="5" borderId="58" xfId="4" applyNumberFormat="1" applyFont="1" applyFill="1" applyBorder="1" applyAlignment="1">
      <alignment horizontal="center"/>
      <protection locked="0"/>
    </xf>
    <xf numFmtId="0" fontId="0" fillId="5" borderId="68" xfId="4" applyNumberFormat="1" applyFont="1" applyFill="1" applyBorder="1" applyAlignment="1">
      <alignment horizontal="center"/>
      <protection locked="0"/>
    </xf>
    <xf numFmtId="0" fontId="22" fillId="5" borderId="39" xfId="4" applyNumberFormat="1" applyFont="1" applyFill="1" applyBorder="1" applyAlignment="1">
      <protection locked="0"/>
    </xf>
    <xf numFmtId="0" fontId="22" fillId="5" borderId="51" xfId="4" applyNumberFormat="1" applyFont="1" applyFill="1" applyBorder="1" applyAlignment="1">
      <protection locked="0"/>
    </xf>
    <xf numFmtId="0" fontId="22" fillId="5" borderId="64" xfId="4" applyNumberFormat="1" applyFont="1" applyFill="1" applyBorder="1" applyAlignment="1">
      <protection locked="0"/>
    </xf>
    <xf numFmtId="0" fontId="22" fillId="5" borderId="18" xfId="4" applyNumberFormat="1" applyFont="1" applyFill="1" applyBorder="1" applyAlignment="1">
      <protection locked="0"/>
    </xf>
    <xf numFmtId="0" fontId="22" fillId="5" borderId="19" xfId="4" applyNumberFormat="1" applyFont="1" applyFill="1" applyBorder="1" applyAlignment="1">
      <protection locked="0"/>
    </xf>
    <xf numFmtId="0" fontId="22" fillId="5" borderId="26" xfId="4" applyNumberFormat="1" applyFont="1" applyFill="1" applyBorder="1" applyAlignment="1">
      <protection locked="0"/>
    </xf>
    <xf numFmtId="0" fontId="25" fillId="3" borderId="38" xfId="2" applyNumberFormat="1" applyFont="1" applyFill="1" applyBorder="1" applyAlignment="1">
      <alignment horizontal="center"/>
    </xf>
    <xf numFmtId="0" fontId="0" fillId="0" borderId="65" xfId="2" applyNumberFormat="1" applyFont="1" applyFill="1" applyBorder="1" applyAlignment="1">
      <alignment horizontal="center"/>
    </xf>
    <xf numFmtId="0" fontId="0" fillId="0" borderId="69" xfId="2" applyNumberFormat="1" applyFont="1" applyFill="1" applyBorder="1" applyAlignment="1">
      <alignment horizontal="center"/>
    </xf>
    <xf numFmtId="0" fontId="26" fillId="3" borderId="5" xfId="2" applyNumberFormat="1" applyFont="1" applyFill="1" applyBorder="1" applyAlignment="1">
      <alignment horizontal="center" wrapText="1"/>
    </xf>
    <xf numFmtId="0" fontId="26" fillId="3" borderId="63" xfId="2" applyNumberFormat="1" applyFont="1" applyFill="1" applyBorder="1" applyAlignment="1">
      <alignment horizontal="center" wrapText="1"/>
    </xf>
    <xf numFmtId="0" fontId="26" fillId="5" borderId="67" xfId="4" applyNumberFormat="1" applyFont="1" applyFill="1" applyBorder="1" applyAlignment="1">
      <protection locked="0"/>
    </xf>
    <xf numFmtId="0" fontId="26" fillId="5" borderId="52" xfId="4" applyNumberFormat="1" applyFont="1" applyFill="1" applyBorder="1" applyAlignment="1">
      <protection locked="0"/>
    </xf>
    <xf numFmtId="0" fontId="26" fillId="5" borderId="37" xfId="4" applyNumberFormat="1" applyFont="1" applyFill="1" applyBorder="1" applyAlignment="1">
      <protection locked="0"/>
    </xf>
    <xf numFmtId="0" fontId="22" fillId="5" borderId="55" xfId="4" applyNumberFormat="1" applyFont="1" applyFill="1" applyBorder="1" applyAlignment="1">
      <protection locked="0"/>
    </xf>
    <xf numFmtId="0" fontId="22" fillId="5" borderId="0" xfId="4" applyNumberFormat="1" applyFont="1" applyFill="1" applyBorder="1" applyAlignment="1">
      <protection locked="0"/>
    </xf>
    <xf numFmtId="0" fontId="22" fillId="5" borderId="7" xfId="4" applyNumberFormat="1" applyFont="1" applyFill="1" applyBorder="1" applyAlignment="1">
      <protection locked="0"/>
    </xf>
    <xf numFmtId="0" fontId="30" fillId="5" borderId="58" xfId="4" applyNumberFormat="1" applyFont="1" applyFill="1" applyBorder="1" applyAlignment="1">
      <protection locked="0"/>
    </xf>
    <xf numFmtId="0" fontId="30" fillId="5" borderId="68" xfId="4" applyNumberFormat="1" applyFont="1" applyFill="1" applyBorder="1" applyAlignment="1">
      <protection locked="0"/>
    </xf>
    <xf numFmtId="0" fontId="22" fillId="5" borderId="41" xfId="2" applyNumberFormat="1" applyFont="1" applyFill="1" applyBorder="1" applyAlignment="1">
      <alignment horizontal="left"/>
    </xf>
    <xf numFmtId="0" fontId="0" fillId="0" borderId="45" xfId="2" applyNumberFormat="1" applyFont="1" applyFill="1" applyBorder="1" applyAlignment="1">
      <alignment horizontal="left"/>
    </xf>
    <xf numFmtId="0" fontId="0" fillId="0" borderId="58" xfId="4" applyNumberFormat="1" applyFont="1" applyFill="1" applyBorder="1" applyAlignment="1">
      <protection locked="0"/>
    </xf>
    <xf numFmtId="0" fontId="0" fillId="0" borderId="68" xfId="4" applyNumberFormat="1" applyFont="1" applyFill="1" applyBorder="1" applyAlignment="1">
      <protection locked="0"/>
    </xf>
    <xf numFmtId="0" fontId="30" fillId="5" borderId="41" xfId="4" applyNumberFormat="1" applyFont="1" applyFill="1" applyBorder="1" applyAlignment="1">
      <protection locked="0"/>
    </xf>
    <xf numFmtId="0" fontId="26" fillId="3" borderId="18" xfId="2" applyNumberFormat="1" applyFont="1" applyFill="1" applyBorder="1" applyAlignment="1">
      <alignment horizontal="center" wrapText="1"/>
    </xf>
    <xf numFmtId="0" fontId="26" fillId="3" borderId="19" xfId="2" applyNumberFormat="1" applyFont="1" applyFill="1" applyBorder="1" applyAlignment="1">
      <alignment horizontal="center" wrapText="1"/>
    </xf>
    <xf numFmtId="0" fontId="26" fillId="3" borderId="26" xfId="2" applyNumberFormat="1" applyFont="1" applyFill="1" applyBorder="1" applyAlignment="1">
      <alignment horizontal="center" wrapText="1"/>
    </xf>
    <xf numFmtId="0" fontId="29" fillId="5" borderId="41" xfId="2" applyNumberFormat="1" applyFont="1" applyFill="1" applyBorder="1" applyAlignment="1">
      <alignment horizontal="left"/>
    </xf>
    <xf numFmtId="0" fontId="26" fillId="3" borderId="54" xfId="2" applyNumberFormat="1" applyFont="1" applyFill="1" applyBorder="1" applyAlignment="1">
      <alignment horizontal="left" wrapText="1"/>
    </xf>
    <xf numFmtId="0" fontId="0" fillId="0" borderId="53" xfId="2" applyNumberFormat="1" applyFont="1" applyFill="1" applyBorder="1" applyAlignment="1">
      <alignment wrapText="1"/>
    </xf>
    <xf numFmtId="0" fontId="6" fillId="5" borderId="41" xfId="4" applyNumberFormat="1" applyFont="1" applyFill="1" applyBorder="1" applyAlignment="1">
      <protection locked="0"/>
    </xf>
    <xf numFmtId="0" fontId="0" fillId="0" borderId="45" xfId="4" applyNumberFormat="1" applyFont="1" applyFill="1" applyBorder="1" applyAlignment="1">
      <protection locked="0"/>
    </xf>
    <xf numFmtId="0" fontId="6" fillId="5" borderId="39" xfId="4" applyNumberFormat="1" applyFont="1" applyFill="1" applyBorder="1" applyAlignment="1">
      <protection locked="0"/>
    </xf>
    <xf numFmtId="0" fontId="0" fillId="0" borderId="51" xfId="4" applyNumberFormat="1" applyFont="1" applyFill="1" applyBorder="1" applyAlignment="1">
      <protection locked="0"/>
    </xf>
    <xf numFmtId="0" fontId="0" fillId="0" borderId="57" xfId="4" applyNumberFormat="1" applyFont="1" applyFill="1" applyBorder="1" applyAlignment="1">
      <protection locked="0"/>
    </xf>
    <xf numFmtId="0" fontId="26" fillId="3" borderId="62" xfId="2" applyNumberFormat="1" applyFont="1" applyFill="1" applyBorder="1" applyAlignment="1">
      <alignment horizontal="center" vertical="top" wrapText="1"/>
    </xf>
    <xf numFmtId="0" fontId="26" fillId="3" borderId="66" xfId="2" applyNumberFormat="1" applyFont="1" applyFill="1" applyBorder="1" applyAlignment="1">
      <alignment horizontal="center" vertical="top" wrapText="1"/>
    </xf>
    <xf numFmtId="0" fontId="0" fillId="0" borderId="49" xfId="2" applyNumberFormat="1" applyFont="1" applyFill="1" applyBorder="1" applyAlignment="1"/>
    <xf numFmtId="0" fontId="22"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22" fillId="5" borderId="65" xfId="4" applyNumberFormat="1" applyFont="1" applyFill="1" applyBorder="1" applyAlignment="1">
      <alignment horizontal="left" wrapText="1"/>
      <protection locked="0"/>
    </xf>
    <xf numFmtId="0" fontId="0" fillId="0" borderId="69" xfId="4" applyNumberFormat="1" applyFont="1" applyFill="1" applyBorder="1" applyAlignment="1">
      <alignment wrapText="1"/>
      <protection locked="0"/>
    </xf>
    <xf numFmtId="0" fontId="26" fillId="3" borderId="62" xfId="2" applyNumberFormat="1" applyFont="1" applyFill="1" applyBorder="1" applyAlignment="1">
      <alignment horizontal="center" wrapText="1"/>
    </xf>
    <xf numFmtId="0" fontId="0" fillId="0" borderId="34" xfId="2" applyNumberFormat="1" applyFont="1" applyFill="1" applyBorder="1" applyAlignment="1">
      <alignment horizontal="center" wrapText="1"/>
    </xf>
    <xf numFmtId="0" fontId="26" fillId="3" borderId="30" xfId="2" applyNumberFormat="1" applyFont="1" applyFill="1" applyBorder="1" applyAlignment="1">
      <alignment horizontal="center" vertical="top" wrapText="1"/>
    </xf>
    <xf numFmtId="0" fontId="0" fillId="0" borderId="24" xfId="2" applyNumberFormat="1" applyFont="1" applyFill="1" applyBorder="1" applyAlignment="1">
      <alignment vertical="top" wrapText="1"/>
    </xf>
    <xf numFmtId="0" fontId="0" fillId="0" borderId="6" xfId="2" applyNumberFormat="1" applyFont="1" applyFill="1" applyBorder="1" applyAlignment="1">
      <alignment vertical="top" wrapText="1"/>
    </xf>
    <xf numFmtId="0" fontId="0" fillId="0" borderId="7" xfId="2" applyNumberFormat="1" applyFont="1" applyFill="1" applyBorder="1" applyAlignment="1">
      <alignment vertical="top" wrapText="1"/>
    </xf>
    <xf numFmtId="0" fontId="0" fillId="0" borderId="1" xfId="2" applyNumberFormat="1" applyFont="1" applyFill="1" applyBorder="1" applyAlignment="1">
      <alignment vertical="top" wrapText="1"/>
    </xf>
    <xf numFmtId="0" fontId="0" fillId="0" borderId="4" xfId="2" applyNumberFormat="1" applyFont="1" applyFill="1" applyBorder="1" applyAlignment="1">
      <alignment vertical="top" wrapText="1"/>
    </xf>
    <xf numFmtId="0" fontId="22" fillId="5" borderId="19" xfId="4" applyNumberFormat="1" applyFont="1" applyFill="1" applyBorder="1" applyAlignment="1">
      <alignment horizontal="left" wrapText="1"/>
      <protection locked="0"/>
    </xf>
    <xf numFmtId="0" fontId="0" fillId="0" borderId="26" xfId="4" applyNumberFormat="1" applyFont="1" applyFill="1" applyBorder="1" applyAlignment="1">
      <alignment wrapText="1"/>
      <protection locked="0"/>
    </xf>
    <xf numFmtId="0" fontId="26" fillId="3" borderId="30" xfId="2" applyNumberFormat="1" applyFont="1" applyFill="1" applyBorder="1" applyAlignment="1">
      <alignment horizontal="center"/>
    </xf>
    <xf numFmtId="0" fontId="0" fillId="0" borderId="24" xfId="0" applyBorder="1" applyAlignment="1">
      <alignment horizontal="center"/>
    </xf>
    <xf numFmtId="0" fontId="26" fillId="0" borderId="6" xfId="2" applyNumberFormat="1" applyFont="1" applyFill="1" applyBorder="1" applyAlignment="1">
      <alignment horizontal="center"/>
    </xf>
    <xf numFmtId="0" fontId="0" fillId="0" borderId="7" xfId="0" applyBorder="1" applyAlignment="1">
      <alignment horizontal="center"/>
    </xf>
    <xf numFmtId="0" fontId="26" fillId="3" borderId="1" xfId="2" applyNumberFormat="1" applyFont="1" applyFill="1" applyBorder="1" applyAlignment="1">
      <alignment horizontal="center"/>
    </xf>
    <xf numFmtId="0" fontId="0" fillId="0" borderId="4" xfId="0" applyBorder="1" applyAlignment="1">
      <alignment horizontal="center"/>
    </xf>
    <xf numFmtId="0" fontId="22" fillId="4" borderId="41" xfId="2" applyNumberFormat="1" applyFont="1" applyFill="1" applyBorder="1" applyAlignment="1">
      <alignment horizontal="left"/>
    </xf>
    <xf numFmtId="0" fontId="0" fillId="0" borderId="58" xfId="2" applyNumberFormat="1" applyFont="1" applyFill="1" applyBorder="1" applyAlignment="1">
      <alignment horizontal="left"/>
    </xf>
    <xf numFmtId="0" fontId="26" fillId="3" borderId="66" xfId="2" applyNumberFormat="1" applyFont="1" applyFill="1" applyBorder="1" applyAlignment="1">
      <alignment horizontal="center" wrapText="1"/>
    </xf>
    <xf numFmtId="0" fontId="0" fillId="0" borderId="49" xfId="2" applyNumberFormat="1" applyFont="1" applyFill="1" applyBorder="1" applyAlignment="1">
      <alignment horizontal="center" wrapText="1"/>
    </xf>
    <xf numFmtId="0" fontId="0" fillId="0" borderId="9" xfId="2" applyNumberFormat="1" applyFont="1" applyFill="1" applyBorder="1" applyAlignment="1">
      <alignment horizontal="center" wrapText="1"/>
    </xf>
    <xf numFmtId="0" fontId="26" fillId="3" borderId="48" xfId="2" applyNumberFormat="1" applyFont="1" applyFill="1" applyBorder="1" applyAlignment="1">
      <alignment horizontal="center" wrapText="1"/>
    </xf>
    <xf numFmtId="0" fontId="0" fillId="0" borderId="57" xfId="2" applyNumberFormat="1" applyFont="1" applyFill="1" applyBorder="1" applyAlignment="1">
      <alignment horizontal="center" wrapText="1"/>
    </xf>
    <xf numFmtId="0" fontId="0" fillId="0" borderId="40" xfId="2" applyNumberFormat="1" applyFont="1" applyFill="1" applyBorder="1" applyAlignment="1">
      <alignment horizontal="center" wrapText="1"/>
    </xf>
    <xf numFmtId="0" fontId="26" fillId="3" borderId="54" xfId="2" applyNumberFormat="1" applyFont="1" applyFill="1" applyBorder="1" applyAlignment="1">
      <alignment horizontal="center" wrapText="1"/>
    </xf>
    <xf numFmtId="0" fontId="0" fillId="0" borderId="21" xfId="2" applyNumberFormat="1" applyFont="1" applyFill="1" applyBorder="1" applyAlignment="1">
      <alignment horizontal="center" wrapText="1"/>
    </xf>
    <xf numFmtId="0" fontId="26" fillId="3" borderId="54" xfId="2" applyNumberFormat="1" applyFont="1" applyFill="1" applyBorder="1" applyAlignment="1">
      <alignment horizontal="center"/>
    </xf>
    <xf numFmtId="0" fontId="26" fillId="0" borderId="53" xfId="2" applyNumberFormat="1" applyFont="1" applyFill="1" applyBorder="1" applyAlignment="1">
      <alignment horizontal="center"/>
    </xf>
    <xf numFmtId="0" fontId="26" fillId="3" borderId="62" xfId="2" applyNumberFormat="1" applyFont="1" applyFill="1" applyBorder="1" applyAlignment="1">
      <alignment horizontal="center"/>
    </xf>
    <xf numFmtId="0" fontId="0" fillId="0" borderId="9" xfId="2" applyNumberFormat="1" applyFont="1" applyFill="1" applyBorder="1" applyAlignment="1">
      <alignment horizontal="center"/>
    </xf>
    <xf numFmtId="0" fontId="22" fillId="5" borderId="13" xfId="4" applyNumberFormat="1" applyFont="1" applyFill="1" applyBorder="1" applyAlignment="1">
      <alignment horizontal="left"/>
      <protection locked="0"/>
    </xf>
    <xf numFmtId="0" fontId="0" fillId="0" borderId="13" xfId="4" applyNumberFormat="1" applyFont="1" applyFill="1" applyBorder="1" applyAlignment="1">
      <alignment horizontal="left"/>
      <protection locked="0"/>
    </xf>
    <xf numFmtId="0" fontId="0" fillId="0" borderId="14" xfId="4" applyNumberFormat="1" applyFont="1" applyFill="1" applyBorder="1" applyAlignment="1">
      <alignment horizontal="left"/>
      <protection locked="0"/>
    </xf>
    <xf numFmtId="0" fontId="26" fillId="3" borderId="53" xfId="2" applyNumberFormat="1" applyFont="1" applyFill="1" applyBorder="1" applyAlignment="1">
      <alignment horizontal="center" wrapText="1"/>
    </xf>
    <xf numFmtId="0" fontId="0" fillId="0" borderId="49" xfId="2" applyNumberFormat="1" applyFont="1" applyFill="1" applyBorder="1" applyAlignment="1">
      <alignment horizontal="center"/>
    </xf>
    <xf numFmtId="0" fontId="22" fillId="5" borderId="34" xfId="4" applyNumberFormat="1" applyFont="1" applyFill="1" applyBorder="1" applyAlignment="1">
      <alignment horizontal="left"/>
      <protection locked="0"/>
    </xf>
    <xf numFmtId="0" fontId="0" fillId="0" borderId="34" xfId="4" applyNumberFormat="1" applyFont="1" applyFill="1" applyBorder="1" applyAlignment="1">
      <alignment horizontal="left"/>
      <protection locked="0"/>
    </xf>
    <xf numFmtId="0" fontId="0" fillId="0" borderId="40" xfId="4" applyNumberFormat="1" applyFont="1" applyFill="1" applyBorder="1" applyAlignment="1">
      <alignment horizontal="left"/>
      <protection locked="0"/>
    </xf>
    <xf numFmtId="0" fontId="22" fillId="5" borderId="8" xfId="4" applyNumberFormat="1" applyFont="1" applyFill="1" applyBorder="1" applyAlignment="1">
      <alignment horizontal="left"/>
      <protection locked="0"/>
    </xf>
    <xf numFmtId="0" fontId="0" fillId="0" borderId="8" xfId="4" applyNumberFormat="1" applyFont="1" applyFill="1" applyBorder="1" applyAlignment="1">
      <alignment horizontal="left"/>
      <protection locked="0"/>
    </xf>
    <xf numFmtId="0" fontId="0" fillId="0" borderId="35" xfId="4" applyNumberFormat="1" applyFont="1" applyFill="1" applyBorder="1" applyAlignment="1">
      <alignment horizontal="left"/>
      <protection locked="0"/>
    </xf>
    <xf numFmtId="0" fontId="26" fillId="3" borderId="30" xfId="2" applyNumberFormat="1" applyFont="1" applyFill="1" applyBorder="1" applyAlignment="1">
      <alignment horizontal="center" wrapText="1"/>
    </xf>
    <xf numFmtId="0" fontId="26" fillId="3" borderId="15" xfId="2" applyNumberFormat="1" applyFont="1" applyFill="1" applyBorder="1" applyAlignment="1">
      <alignment horizontal="center"/>
    </xf>
    <xf numFmtId="0" fontId="26" fillId="0" borderId="61" xfId="2" applyNumberFormat="1" applyFont="1" applyFill="1" applyBorder="1" applyAlignment="1"/>
    <xf numFmtId="0" fontId="35" fillId="3" borderId="53" xfId="2" applyNumberFormat="1" applyFont="1" applyFill="1" applyBorder="1" applyAlignment="1">
      <alignment horizontal="center"/>
    </xf>
    <xf numFmtId="0" fontId="22" fillId="0" borderId="49" xfId="2" applyNumberFormat="1" applyFont="1" applyFill="1" applyBorder="1" applyAlignment="1"/>
    <xf numFmtId="0" fontId="22" fillId="5" borderId="46" xfId="4" applyNumberFormat="1" applyFont="1" applyFill="1" applyBorder="1" applyAlignment="1">
      <protection locked="0"/>
    </xf>
    <xf numFmtId="0" fontId="22" fillId="5" borderId="63" xfId="4" applyNumberFormat="1" applyFont="1" applyFill="1" applyBorder="1" applyAlignment="1">
      <protection locked="0"/>
    </xf>
    <xf numFmtId="0" fontId="30" fillId="5" borderId="45" xfId="4" applyNumberFormat="1" applyFont="1" applyFill="1" applyBorder="1" applyAlignment="1">
      <protection locked="0"/>
    </xf>
    <xf numFmtId="0" fontId="22" fillId="5" borderId="14" xfId="4" applyNumberFormat="1" applyFont="1" applyFill="1" applyBorder="1" applyAlignment="1">
      <protection locked="0"/>
    </xf>
    <xf numFmtId="0" fontId="22" fillId="5" borderId="45" xfId="4" applyNumberFormat="1" applyFont="1" applyFill="1" applyBorder="1" applyAlignment="1">
      <protection locked="0"/>
    </xf>
    <xf numFmtId="0" fontId="22" fillId="5" borderId="47" xfId="4" applyNumberFormat="1" applyFont="1" applyFill="1" applyBorder="1" applyAlignment="1">
      <protection locked="0"/>
    </xf>
    <xf numFmtId="0" fontId="22" fillId="5" borderId="35" xfId="4" applyNumberFormat="1" applyFont="1" applyFill="1" applyBorder="1" applyAlignment="1">
      <protection locked="0"/>
    </xf>
    <xf numFmtId="0" fontId="26" fillId="0" borderId="66" xfId="2" applyNumberFormat="1" applyFont="1" applyFill="1" applyBorder="1" applyAlignment="1"/>
    <xf numFmtId="0" fontId="26" fillId="3" borderId="23" xfId="2" applyNumberFormat="1" applyFont="1" applyFill="1" applyBorder="1" applyAlignment="1">
      <alignment horizontal="center" wrapText="1"/>
    </xf>
    <xf numFmtId="0" fontId="0" fillId="0" borderId="24" xfId="2" applyNumberFormat="1" applyFont="1" applyFill="1" applyBorder="1" applyAlignment="1">
      <alignment wrapText="1"/>
    </xf>
    <xf numFmtId="0" fontId="26" fillId="3" borderId="1" xfId="2" applyNumberFormat="1" applyFont="1" applyFill="1" applyBorder="1" applyAlignment="1">
      <alignment horizontal="center" wrapText="1"/>
    </xf>
    <xf numFmtId="0" fontId="26" fillId="3" borderId="2" xfId="2" applyNumberFormat="1" applyFont="1" applyFill="1" applyBorder="1" applyAlignment="1">
      <alignment horizontal="center" wrapText="1"/>
    </xf>
    <xf numFmtId="0" fontId="0" fillId="0" borderId="4" xfId="2" applyNumberFormat="1" applyFont="1" applyFill="1" applyBorder="1" applyAlignment="1">
      <alignment wrapText="1"/>
    </xf>
    <xf numFmtId="0" fontId="30" fillId="5" borderId="34" xfId="4" applyNumberFormat="1" applyFont="1" applyFill="1" applyBorder="1" applyAlignment="1">
      <alignment horizontal="left" wrapText="1"/>
      <protection locked="0"/>
    </xf>
    <xf numFmtId="0" fontId="0" fillId="0" borderId="34" xfId="4" applyNumberFormat="1" applyFont="1" applyFill="1" applyBorder="1" applyAlignment="1">
      <alignment wrapText="1"/>
      <protection locked="0"/>
    </xf>
    <xf numFmtId="0" fontId="22" fillId="5" borderId="13" xfId="4" applyNumberFormat="1" applyFont="1" applyFill="1" applyBorder="1" applyAlignment="1">
      <alignment horizontal="left" wrapText="1"/>
      <protection locked="0"/>
    </xf>
    <xf numFmtId="0" fontId="0" fillId="0" borderId="13" xfId="4" applyNumberFormat="1" applyFont="1" applyFill="1" applyBorder="1" applyAlignment="1">
      <alignment wrapText="1"/>
      <protection locked="0"/>
    </xf>
    <xf numFmtId="0" fontId="30" fillId="5" borderId="13" xfId="4" applyNumberFormat="1" applyFont="1" applyFill="1" applyBorder="1" applyAlignment="1">
      <alignment horizontal="left" wrapText="1"/>
      <protection locked="0"/>
    </xf>
    <xf numFmtId="0" fontId="0" fillId="0" borderId="64" xfId="4" applyNumberFormat="1" applyFont="1" applyFill="1" applyBorder="1" applyAlignment="1">
      <protection locked="0"/>
    </xf>
    <xf numFmtId="0" fontId="26" fillId="3" borderId="67" xfId="2" applyNumberFormat="1" applyFont="1" applyFill="1" applyBorder="1" applyAlignment="1">
      <alignment horizontal="center" wrapText="1"/>
    </xf>
    <xf numFmtId="0" fontId="26" fillId="3" borderId="52" xfId="2" applyNumberFormat="1" applyFont="1" applyFill="1" applyBorder="1" applyAlignment="1">
      <alignment horizontal="center" wrapText="1"/>
    </xf>
    <xf numFmtId="0" fontId="26" fillId="3" borderId="37" xfId="2" applyNumberFormat="1" applyFont="1" applyFill="1" applyBorder="1" applyAlignment="1">
      <alignment horizontal="center" wrapText="1"/>
    </xf>
    <xf numFmtId="0" fontId="22" fillId="5" borderId="18" xfId="4" applyNumberFormat="1" applyFont="1" applyFill="1" applyBorder="1" applyAlignment="1">
      <alignment horizontal="left"/>
      <protection locked="0"/>
    </xf>
    <xf numFmtId="0" fontId="22" fillId="5" borderId="19" xfId="4" applyNumberFormat="1" applyFont="1" applyFill="1" applyBorder="1" applyAlignment="1">
      <alignment horizontal="left"/>
      <protection locked="0"/>
    </xf>
    <xf numFmtId="0" fontId="22" fillId="5" borderId="26" xfId="4" applyNumberFormat="1" applyFont="1" applyFill="1" applyBorder="1" applyAlignment="1">
      <alignment horizontal="left"/>
      <protection locked="0"/>
    </xf>
    <xf numFmtId="0" fontId="22" fillId="5" borderId="38" xfId="4" applyNumberFormat="1" applyFont="1" applyFill="1" applyBorder="1" applyAlignment="1">
      <protection locked="0"/>
    </xf>
    <xf numFmtId="0" fontId="0" fillId="0" borderId="65" xfId="4" applyNumberFormat="1" applyFont="1" applyFill="1" applyBorder="1" applyAlignment="1">
      <protection locked="0"/>
    </xf>
    <xf numFmtId="0" fontId="0" fillId="0" borderId="69" xfId="4" applyNumberFormat="1" applyFont="1" applyFill="1" applyBorder="1" applyAlignment="1">
      <protection locked="0"/>
    </xf>
    <xf numFmtId="0" fontId="22" fillId="5" borderId="41" xfId="4" applyNumberFormat="1" applyFont="1" applyFill="1" applyBorder="1" applyAlignment="1">
      <alignment horizontal="left"/>
      <protection locked="0"/>
    </xf>
    <xf numFmtId="0" fontId="22" fillId="5" borderId="58" xfId="4" applyNumberFormat="1" applyFont="1" applyFill="1" applyBorder="1" applyAlignment="1">
      <alignment horizontal="left"/>
      <protection locked="0"/>
    </xf>
    <xf numFmtId="0" fontId="22" fillId="5" borderId="68" xfId="4" applyNumberFormat="1" applyFont="1" applyFill="1" applyBorder="1" applyAlignment="1">
      <alignment horizontal="left"/>
      <protection locked="0"/>
    </xf>
    <xf numFmtId="0" fontId="22" fillId="5" borderId="38" xfId="4" applyNumberFormat="1" applyFont="1" applyFill="1" applyBorder="1" applyAlignment="1">
      <alignment horizontal="left"/>
      <protection locked="0"/>
    </xf>
    <xf numFmtId="0" fontId="22" fillId="5" borderId="65" xfId="4" applyNumberFormat="1" applyFont="1" applyFill="1" applyBorder="1" applyAlignment="1">
      <alignment horizontal="left"/>
      <protection locked="0"/>
    </xf>
    <xf numFmtId="0" fontId="22" fillId="5" borderId="69" xfId="4" applyNumberFormat="1" applyFont="1" applyFill="1" applyBorder="1" applyAlignment="1">
      <alignment horizontal="left"/>
      <protection locked="0"/>
    </xf>
    <xf numFmtId="0" fontId="0" fillId="0" borderId="19" xfId="4" applyNumberFormat="1" applyFont="1" applyFill="1" applyBorder="1" applyAlignment="1">
      <protection locked="0"/>
    </xf>
    <xf numFmtId="0" fontId="0" fillId="0" borderId="26" xfId="4" applyNumberFormat="1" applyFont="1" applyFill="1" applyBorder="1" applyAlignment="1">
      <protection locked="0"/>
    </xf>
    <xf numFmtId="0" fontId="26" fillId="3" borderId="17" xfId="2" applyNumberFormat="1" applyFont="1" applyFill="1" applyBorder="1" applyAlignment="1">
      <alignment horizontal="center" wrapText="1"/>
    </xf>
    <xf numFmtId="0" fontId="0" fillId="0" borderId="17" xfId="2" applyNumberFormat="1" applyFont="1" applyFill="1" applyBorder="1" applyAlignment="1"/>
    <xf numFmtId="0" fontId="0" fillId="0" borderId="50" xfId="2" applyNumberFormat="1" applyFont="1" applyFill="1" applyBorder="1" applyAlignment="1"/>
  </cellXfs>
  <cellStyles count="5">
    <cellStyle name="Locked" xfId="2" xr:uid="{B26B0A79-BBFD-4530-B1AD-56503ACA41B1}"/>
    <cellStyle name="Locked + Hidden" xfId="3" xr:uid="{EE8C9A67-D4D4-4EA3-A7A1-101E8B9D88AF}"/>
    <cellStyle name="Normal" xfId="0" builtinId="0"/>
    <cellStyle name="Normal 2" xfId="1" xr:uid="{786A50A7-1310-4502-8631-0496037C7B96}"/>
    <cellStyle name="Unlocked" xfId="4" xr:uid="{B47B7BEB-430F-4963-8FB8-5BEF0779E667}"/>
  </cellStyles>
  <dxfs count="13">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164" formatCode="0.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164" formatCode="0.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Franklin Gothic Book"/>
        <family val="2"/>
        <scheme val="none"/>
      </font>
      <numFmt numFmtId="0" formatCode="General"/>
      <fill>
        <patternFill patternType="solid">
          <fgColor indexed="64"/>
          <bgColor rgb="FF99CCFF"/>
        </patternFill>
      </fill>
      <alignment horizontal="right" vertical="center" textRotation="0" wrapText="1"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efter renovering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tx>
            <c:v>Efter renovering</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7146833135700357"/>
                  <c:y val="-0.56686242344706916"/>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VFT!$O$14:$O$65</c:f>
              <c:numCache>
                <c:formatCode>0</c:formatCode>
                <c:ptCount val="52"/>
              </c:numCache>
            </c:numRef>
          </c:xVal>
          <c:yVal>
            <c:numRef>
              <c:f>VFT!$Q$14:$Q$65</c:f>
              <c:numCache>
                <c:formatCode>#,##0.00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A12-48A1-922D-52D2A6B99E0C}"/>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före åtgärd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tx>
            <c:v>Före åtgärd</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rgbClr val="FF0000"/>
                </a:solidFill>
                <a:prstDash val="sysDot"/>
              </a:ln>
              <a:effectLst/>
            </c:spPr>
            <c:trendlineType val="linear"/>
            <c:dispRSqr val="1"/>
            <c:dispEq val="1"/>
            <c:trendlineLbl>
              <c:layout>
                <c:manualLayout>
                  <c:x val="0.17027431545807425"/>
                  <c:y val="-0.52411271507728197"/>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VFT!$U$14:$U$65</c:f>
              <c:numCache>
                <c:formatCode>0</c:formatCode>
                <c:ptCount val="52"/>
              </c:numCache>
            </c:numRef>
          </c:xVal>
          <c:yVal>
            <c:numRef>
              <c:f>VFT!$W$14:$W$65</c:f>
              <c:numCache>
                <c:formatCode>#,##0.00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1-8A89-4EC6-AF6E-769C9285C97E}"/>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uppvärmning</c:v>
          </c:tx>
          <c:spPr>
            <a:solidFill>
              <a:schemeClr val="accent1"/>
            </a:solidFill>
            <a:ln>
              <a:noFill/>
            </a:ln>
            <a:effectLst/>
          </c:spPr>
          <c:invertIfNegative val="0"/>
          <c:val>
            <c:numRef>
              <c:f>'C2. Inmatning och verifiering'!$AE$13:$AE$24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BD-4258-ABB9-C33D5A1751A6}"/>
            </c:ext>
          </c:extLst>
        </c:ser>
        <c:ser>
          <c:idx val="1"/>
          <c:order val="1"/>
          <c:tx>
            <c:v>Beräknad uppvärmning</c:v>
          </c:tx>
          <c:spPr>
            <a:solidFill>
              <a:schemeClr val="accent2"/>
            </a:solidFill>
            <a:ln>
              <a:noFill/>
            </a:ln>
            <a:effectLst/>
          </c:spPr>
          <c:invertIfNegative val="0"/>
          <c:val>
            <c:numRef>
              <c:f>'C2. Inmatning och verifiering'!$AF$13:$AF$24</c:f>
              <c:numCache>
                <c:formatCode>#,##0</c:formatCode>
                <c:ptCount val="12"/>
              </c:numCache>
            </c:numRef>
          </c:val>
          <c:extLst>
            <c:ext xmlns:c16="http://schemas.microsoft.com/office/drawing/2014/chart" uri="{C3380CC4-5D6E-409C-BE32-E72D297353CC}">
              <c16:uniqueId val="{00000002-6EBD-4258-ABB9-C33D5A1751A6}"/>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32205718187360644"/>
          <c:y val="6.6438009436538756E-2"/>
          <c:w val="0.43630323511640151"/>
          <c:h val="0.17052504316605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fjärrkyla</c:v>
          </c:tx>
          <c:spPr>
            <a:solidFill>
              <a:schemeClr val="accent1"/>
            </a:solidFill>
            <a:ln>
              <a:noFill/>
            </a:ln>
            <a:effectLst/>
          </c:spPr>
          <c:invertIfNegative val="0"/>
          <c:val>
            <c:numRef>
              <c:f>'C2. Inmatning och verifiering'!$AT$13:$AT$24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7B-44AE-94CC-91ABB78C32E1}"/>
            </c:ext>
          </c:extLst>
        </c:ser>
        <c:ser>
          <c:idx val="1"/>
          <c:order val="1"/>
          <c:tx>
            <c:v>Beräknad Fjärrkyla</c:v>
          </c:tx>
          <c:spPr>
            <a:solidFill>
              <a:schemeClr val="accent2"/>
            </a:solidFill>
            <a:ln>
              <a:noFill/>
            </a:ln>
            <a:effectLst/>
          </c:spPr>
          <c:invertIfNegative val="0"/>
          <c:val>
            <c:numRef>
              <c:f>'C2. Inmatning och verifiering'!$AV$13:$AV$24</c:f>
              <c:numCache>
                <c:formatCode>#,##0</c:formatCode>
                <c:ptCount val="12"/>
              </c:numCache>
            </c:numRef>
          </c:val>
          <c:extLst>
            <c:ext xmlns:c16="http://schemas.microsoft.com/office/drawing/2014/chart" uri="{C3380CC4-5D6E-409C-BE32-E72D297353CC}">
              <c16:uniqueId val="{00000001-797B-44AE-94CC-91ABB78C32E1}"/>
            </c:ext>
          </c:extLst>
        </c:ser>
        <c:ser>
          <c:idx val="2"/>
          <c:order val="2"/>
          <c:tx>
            <c:v>Normaliserad elkyla</c:v>
          </c:tx>
          <c:spPr>
            <a:solidFill>
              <a:schemeClr val="accent3"/>
            </a:solidFill>
            <a:ln>
              <a:noFill/>
            </a:ln>
            <a:effectLst/>
          </c:spPr>
          <c:invertIfNegative val="0"/>
          <c:val>
            <c:numRef>
              <c:f>'C2. Inmatning och verifiering'!$AU$13:$AU$24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97B-44AE-94CC-91ABB78C32E1}"/>
            </c:ext>
          </c:extLst>
        </c:ser>
        <c:ser>
          <c:idx val="3"/>
          <c:order val="3"/>
          <c:tx>
            <c:v>Beräknad elkyla</c:v>
          </c:tx>
          <c:spPr>
            <a:solidFill>
              <a:schemeClr val="accent4"/>
            </a:solidFill>
            <a:ln>
              <a:noFill/>
            </a:ln>
            <a:effectLst/>
          </c:spPr>
          <c:invertIfNegative val="0"/>
          <c:val>
            <c:numRef>
              <c:f>'C2. Inmatning och verifiering'!$AW$13:$AW$24</c:f>
              <c:numCache>
                <c:formatCode>#,##0</c:formatCode>
                <c:ptCount val="12"/>
              </c:numCache>
            </c:numRef>
          </c:val>
          <c:extLst>
            <c:ext xmlns:c16="http://schemas.microsoft.com/office/drawing/2014/chart" uri="{C3380CC4-5D6E-409C-BE32-E72D297353CC}">
              <c16:uniqueId val="{00000004-797B-44AE-94CC-91ABB78C32E1}"/>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66248267875979405"/>
          <c:y val="5.9181770499446354E-2"/>
          <c:w val="0.31596954525170812"/>
          <c:h val="0.3229060608449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png"/><Relationship Id="rId7"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image" Target="../media/image4.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chart" Target="../charts/chart4.xml"/><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1</xdr:col>
      <xdr:colOff>56090</xdr:colOff>
      <xdr:row>0</xdr:row>
      <xdr:rowOff>86492</xdr:rowOff>
    </xdr:from>
    <xdr:to>
      <xdr:col>1</xdr:col>
      <xdr:colOff>1438275</xdr:colOff>
      <xdr:row>0</xdr:row>
      <xdr:rowOff>587423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2507" y="86492"/>
          <a:ext cx="1382185" cy="500931"/>
        </a:xfrm>
        <a:prstGeom prst="rect">
          <a:avLst/>
        </a:prstGeom>
      </xdr:spPr>
    </xdr:pic>
    <xdr:clientData/>
  </xdr:twoCellAnchor>
  <xdr:oneCellAnchor>
    <xdr:from>
      <xdr:col>9</xdr:col>
      <xdr:colOff>97364</xdr:colOff>
      <xdr:row>2</xdr:row>
      <xdr:rowOff>132291</xdr:rowOff>
    </xdr:from>
    <xdr:ext cx="3797301" cy="3258609"/>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11019364" y="1349374"/>
          <a:ext cx="3797301" cy="325860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itchFamily="34" charset="0"/>
              <a:ea typeface="+mn-ea"/>
              <a:cs typeface="+mn-cs"/>
            </a:rPr>
            <a:t>Anvisning</a:t>
          </a:r>
        </a:p>
        <a:p>
          <a:r>
            <a:rPr lang="sv-SE" sz="1000">
              <a:solidFill>
                <a:sysClr val="windowText" lastClr="000000"/>
              </a:solidFill>
              <a:effectLst/>
              <a:latin typeface="Franklin Gothic Book" panose="020B0503020102020204" pitchFamily="34" charset="0"/>
              <a:ea typeface="+mn-ea"/>
              <a:cs typeface="+mn-cs"/>
            </a:rPr>
            <a:t>Formuläret kan användas för olika byggnadstyper genom att fylla i relevanta vita</a:t>
          </a:r>
          <a:r>
            <a:rPr lang="sv-SE" sz="1000" baseline="0">
              <a:solidFill>
                <a:sysClr val="windowText" lastClr="000000"/>
              </a:solidFill>
              <a:effectLst/>
              <a:latin typeface="Franklin Gothic Book" panose="020B0503020102020204" pitchFamily="34" charset="0"/>
              <a:ea typeface="+mn-ea"/>
              <a:cs typeface="+mn-cs"/>
            </a:rPr>
            <a:t> rutor för den aktuella byggnaden. </a:t>
          </a:r>
          <a:r>
            <a:rPr lang="sv-SE" sz="1000">
              <a:solidFill>
                <a:schemeClr val="dk1"/>
              </a:solidFill>
              <a:effectLst/>
              <a:latin typeface="Franklin Gothic Book" panose="020B0503020102020204" pitchFamily="34" charset="0"/>
              <a:ea typeface="+mn-ea"/>
              <a:cs typeface="+mn-cs"/>
            </a:rPr>
            <a:t>OBS</a:t>
          </a:r>
          <a:r>
            <a:rPr lang="sv-SE" sz="1000" baseline="0">
              <a:solidFill>
                <a:schemeClr val="dk1"/>
              </a:solidFill>
              <a:effectLst/>
              <a:latin typeface="Franklin Gothic Book" panose="020B0503020102020204" pitchFamily="34" charset="0"/>
              <a:ea typeface="+mn-ea"/>
              <a:cs typeface="+mn-cs"/>
            </a:rPr>
            <a:t> att endast vita rutor ska fyllas i.</a:t>
          </a:r>
          <a:r>
            <a:rPr lang="sv-SE" sz="1000" baseline="0">
              <a:solidFill>
                <a:sysClr val="windowText" lastClr="000000"/>
              </a:solidFill>
              <a:effectLst/>
              <a:latin typeface="Franklin Gothic Book" panose="020B0503020102020204" pitchFamily="34" charset="0"/>
              <a:ea typeface="+mn-ea"/>
              <a:cs typeface="+mn-cs"/>
            </a:rPr>
            <a:t> </a:t>
          </a:r>
        </a:p>
        <a:p>
          <a:r>
            <a:rPr lang="sv-SE" sz="1000">
              <a:solidFill>
                <a:sysClr val="windowText" lastClr="000000"/>
              </a:solidFill>
              <a:effectLst/>
              <a:latin typeface="Franklin Gothic Book" panose="020B0503020102020204" pitchFamily="34" charset="0"/>
              <a:ea typeface="+mn-ea"/>
              <a:cs typeface="+mn-cs"/>
            </a:rPr>
            <a:t>Formuläret fylls i och</a:t>
          </a:r>
          <a:r>
            <a:rPr lang="sv-SE" sz="1000" baseline="0">
              <a:solidFill>
                <a:sysClr val="windowText" lastClr="000000"/>
              </a:solidFill>
              <a:effectLst/>
              <a:latin typeface="Franklin Gothic Book" panose="020B0503020102020204" pitchFamily="34" charset="0"/>
              <a:ea typeface="+mn-ea"/>
              <a:cs typeface="+mn-cs"/>
            </a:rPr>
            <a:t> uppdateras </a:t>
          </a:r>
          <a:r>
            <a:rPr lang="sv-SE" sz="1000">
              <a:solidFill>
                <a:sysClr val="windowText" lastClr="000000"/>
              </a:solidFill>
              <a:effectLst/>
              <a:latin typeface="Franklin Gothic Book" panose="020B0503020102020204" pitchFamily="34" charset="0"/>
              <a:ea typeface="+mn-ea"/>
              <a:cs typeface="+mn-cs"/>
            </a:rPr>
            <a:t>under processens gång. </a:t>
          </a:r>
          <a:r>
            <a:rPr lang="sv-SE" sz="1000" baseline="0">
              <a:solidFill>
                <a:sysClr val="windowText" lastClr="000000"/>
              </a:solidFill>
              <a:effectLst/>
              <a:latin typeface="Franklin Gothic Book" panose="020B0503020102020204" pitchFamily="34" charset="0"/>
              <a:ea typeface="+mn-ea"/>
              <a:cs typeface="+mn-cs"/>
            </a:rPr>
            <a:t> Det innehåller vissa inmatningskontroller och uträkningar. Instruktioner finns även i de rutor som har röda trianglar i övre högra hörnet.</a:t>
          </a:r>
          <a:br>
            <a:rPr lang="sv-SE" sz="1000" baseline="0">
              <a:solidFill>
                <a:sysClr val="windowText" lastClr="000000"/>
              </a:solidFill>
              <a:effectLst/>
              <a:latin typeface="Franklin Gothic Book" panose="020B0503020102020204" pitchFamily="34" charset="0"/>
              <a:ea typeface="+mn-ea"/>
              <a:cs typeface="+mn-cs"/>
            </a:rPr>
          </a:br>
          <a:r>
            <a:rPr lang="sv-SE" sz="1000" baseline="0">
              <a:solidFill>
                <a:sysClr val="windowText" lastClr="000000"/>
              </a:solidFill>
              <a:effectLst/>
              <a:latin typeface="Franklin Gothic Book" panose="020B0503020102020204" pitchFamily="34" charset="0"/>
              <a:ea typeface="+mn-ea"/>
              <a:cs typeface="+mn-cs"/>
            </a:rPr>
            <a:t>Formuläret</a:t>
          </a:r>
          <a:r>
            <a:rPr lang="sv-SE" sz="1000">
              <a:solidFill>
                <a:sysClr val="windowText" lastClr="000000"/>
              </a:solidFill>
              <a:effectLst/>
              <a:latin typeface="Franklin Gothic Book" panose="020B0503020102020204" pitchFamily="34" charset="0"/>
              <a:ea typeface="+mn-ea"/>
              <a:cs typeface="+mn-cs"/>
            </a:rPr>
            <a:t> innehåller följande huvuddelar:</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A.</a:t>
          </a:r>
          <a:r>
            <a:rPr lang="sv-SE" sz="1000" baseline="0">
              <a:solidFill>
                <a:sysClr val="windowText" lastClr="000000"/>
              </a:solidFill>
              <a:effectLst/>
              <a:latin typeface="Franklin Gothic Book" panose="020B0503020102020204" pitchFamily="34" charset="0"/>
              <a:ea typeface="+mn-ea"/>
              <a:cs typeface="+mn-cs"/>
            </a:rPr>
            <a:t> </a:t>
          </a:r>
          <a:br>
            <a:rPr lang="sv-SE" sz="1000" baseline="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Kontaktuppgifter, byggnads-ID, egenskaper, underlag</a:t>
          </a:r>
          <a:r>
            <a:rPr lang="sv-SE" sz="1000" baseline="0">
              <a:solidFill>
                <a:sysClr val="windowText" lastClr="000000"/>
              </a:solidFill>
              <a:effectLst/>
              <a:latin typeface="Franklin Gothic Book" panose="020B0503020102020204" pitchFamily="34" charset="0"/>
              <a:ea typeface="+mn-ea"/>
              <a:cs typeface="+mn-cs"/>
            </a:rPr>
            <a:t> för beräkning av primärenergital och mätning samt</a:t>
          </a:r>
          <a:r>
            <a:rPr lang="sv-SE" sz="1000">
              <a:solidFill>
                <a:sysClr val="windowText" lastClr="000000"/>
              </a:solidFill>
              <a:effectLst/>
              <a:latin typeface="Franklin Gothic Book" panose="020B0503020102020204" pitchFamily="34" charset="0"/>
              <a:ea typeface="+mn-ea"/>
              <a:cs typeface="+mn-cs"/>
            </a:rPr>
            <a:t> planerad verksamhet i byggnaden (enligt energideklarationsblanketten). BBR-krav och kravuppfyllelse, samt underlag för BBR-kravberäkningen, för att visa på krav enligt BBR kapitel 9.</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B.</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Beräknad energianvändning i olka skeden. Uppdelat</a:t>
          </a:r>
          <a:r>
            <a:rPr lang="sv-SE" sz="1000" baseline="0">
              <a:solidFill>
                <a:sysClr val="windowText" lastClr="000000"/>
              </a:solidFill>
              <a:effectLst/>
              <a:latin typeface="Franklin Gothic Book" panose="020B0503020102020204" pitchFamily="34" charset="0"/>
              <a:ea typeface="+mn-ea"/>
              <a:cs typeface="+mn-cs"/>
            </a:rPr>
            <a:t> beräkningsresultat och i</a:t>
          </a:r>
          <a:r>
            <a:rPr lang="sv-SE" sz="1000">
              <a:solidFill>
                <a:sysClr val="windowText" lastClr="000000"/>
              </a:solidFill>
              <a:effectLst/>
              <a:latin typeface="Franklin Gothic Book" panose="020B0503020102020204" pitchFamily="34" charset="0"/>
              <a:ea typeface="+mn-ea"/>
              <a:cs typeface="+mn-cs"/>
            </a:rPr>
            <a:t>ndata för energiberäkning.</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C.</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Uppföljning och verifiering med mätning </a:t>
          </a:r>
          <a:r>
            <a:rPr lang="sv-SE" sz="1000">
              <a:solidFill>
                <a:schemeClr val="dk1"/>
              </a:solidFill>
              <a:effectLst/>
              <a:latin typeface="Franklin Gothic Book" panose="020B0503020102020204" pitchFamily="34" charset="0"/>
              <a:ea typeface="+mn-ea"/>
              <a:cs typeface="+mn-cs"/>
            </a:rPr>
            <a:t>enligt BBR och BEN.</a:t>
          </a:r>
          <a:r>
            <a:rPr lang="sv-SE" sz="1000" baseline="0">
              <a:solidFill>
                <a:schemeClr val="dk1"/>
              </a:solidFill>
              <a:effectLst/>
              <a:latin typeface="Franklin Gothic Book" panose="020B0503020102020204" pitchFamily="34" charset="0"/>
              <a:ea typeface="+mn-ea"/>
              <a:cs typeface="+mn-cs"/>
            </a:rPr>
            <a:t> </a:t>
          </a:r>
          <a:r>
            <a:rPr lang="sv-SE" sz="1000">
              <a:solidFill>
                <a:sysClr val="windowText" lastClr="000000"/>
              </a:solidFill>
              <a:effectLst/>
              <a:latin typeface="Franklin Gothic Book" panose="020B0503020102020204" pitchFamily="34" charset="0"/>
              <a:ea typeface="+mn-ea"/>
              <a:cs typeface="+mn-cs"/>
            </a:rPr>
            <a:t>Månadsvis med schabloniserad normalisering enligt BEN,</a:t>
          </a:r>
          <a:r>
            <a:rPr lang="sv-SE" sz="1000" baseline="0">
              <a:solidFill>
                <a:sysClr val="windowText" lastClr="000000"/>
              </a:solidFill>
              <a:effectLst/>
              <a:latin typeface="Franklin Gothic Book" panose="020B0503020102020204" pitchFamily="34" charset="0"/>
              <a:ea typeface="+mn-ea"/>
              <a:cs typeface="+mn-cs"/>
            </a:rPr>
            <a:t> alternativt  årsvis med upprepad energiberäkning enligt BEN.</a:t>
          </a:r>
          <a:endParaRPr lang="sv-SE" sz="1000">
            <a:solidFill>
              <a:sysClr val="windowText" lastClr="000000"/>
            </a:solidFill>
            <a:latin typeface="Franklin Gothic Book" panose="020B0503020102020204" pitchFamily="34" charset="0"/>
            <a:ea typeface="+mn-ea"/>
            <a:cs typeface="+mn-cs"/>
          </a:endParaRPr>
        </a:p>
      </xdr:txBody>
    </xdr:sp>
    <xdr:clientData/>
  </xdr:oneCellAnchor>
  <xdr:oneCellAnchor>
    <xdr:from>
      <xdr:col>1</xdr:col>
      <xdr:colOff>0</xdr:colOff>
      <xdr:row>52</xdr:row>
      <xdr:rowOff>0</xdr:rowOff>
    </xdr:from>
    <xdr:ext cx="9376833" cy="3005667"/>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116417" y="11557000"/>
          <a:ext cx="9376833" cy="30056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457200" indent="-457200">
            <a:tabLst>
              <a:tab pos="457200" algn="l"/>
              <a:tab pos="828040" algn="l"/>
            </a:tabLst>
          </a:pPr>
          <a:r>
            <a:rPr lang="sv-SE" sz="1200" b="0">
              <a:effectLst/>
              <a:latin typeface="Franklin Gothic Demi" panose="020B0703020102020204" pitchFamily="34" charset="0"/>
              <a:cs typeface="Times New Roman" panose="02020603050405020304" pitchFamily="18" charset="0"/>
            </a:rPr>
            <a:t>Syfte och avgränsning</a:t>
          </a:r>
          <a:endParaRPr lang="sv-SE" sz="1100" b="0">
            <a:effectLst/>
            <a:latin typeface="Arial" panose="020B0604020202020204" pitchFamily="34" charset="0"/>
            <a:cs typeface="Times New Roman" panose="02020603050405020304" pitchFamily="18" charset="0"/>
          </a:endParaRPr>
        </a:p>
        <a:p>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Syftet med </a:t>
          </a:r>
          <a:r>
            <a:rPr lang="sv-SE" sz="1100" b="0">
              <a:effectLst/>
              <a:latin typeface="Franklin Gothic Book" panose="020B0503020102020204" pitchFamily="34" charset="0"/>
              <a:ea typeface="Times New Roman" panose="02020603050405020304" pitchFamily="18" charset="0"/>
              <a:cs typeface="Times New Roman" panose="02020603050405020304" pitchFamily="18" charset="0"/>
            </a:rPr>
            <a:t>detta formulär är att </a:t>
          </a:r>
          <a:r>
            <a:rPr lang="sv-SE" sz="1100" b="0">
              <a:effectLst/>
              <a:latin typeface="Franklin Gothic Demi" panose="020B0703020102020204" pitchFamily="34" charset="0"/>
              <a:ea typeface="Times New Roman" panose="02020603050405020304" pitchFamily="18" charset="0"/>
              <a:cs typeface="Times New Roman" panose="02020603050405020304" pitchFamily="18" charset="0"/>
            </a:rPr>
            <a:t>underlätta kommunernas granskning och vara ett stöd för byggherrens egenkontroll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av att aktuell byggnad har tillräckliga förutsättningar för att uppfylla lagkrav eller andra krav för energianvändning och att denna ska kunna verifieras. Det täcker därmed även in stora delar av underlaget för den första energideklarationen. En möjlighet är att koppla blanketten för direkt export till energideklarationsdatabasen Gripen. Vi vill poängtera att det inte finns något krav att använda formuläret, men en standardisering torde i regel påskynda och underlätta hanteringen. </a:t>
          </a:r>
          <a:r>
            <a:rPr lang="sv-SE" sz="1100">
              <a:solidFill>
                <a:schemeClr val="dk1"/>
              </a:solidFill>
              <a:effectLst/>
              <a:latin typeface="Franklin Gothic Book" panose="020B0503020102020204" pitchFamily="34" charset="0"/>
              <a:ea typeface="+mn-ea"/>
              <a:cs typeface="+mn-cs"/>
            </a:rPr>
            <a:t>Syftet med detta formulär är också att underlätta kravställarens (beställarens) granskning.</a:t>
          </a:r>
        </a:p>
        <a:p>
          <a:pPr indent="180340"/>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Formuläret</a:t>
          </a:r>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är tänkt att i berörda delar fyllas i av energiberäknare/projektör/entreprenör/byggherre, ingå i kontrollplanen och bifogas vid redovisning inför startbesked, eller i ett något senare skede. Formuläret, och den energiberäkning det baseras på, uppdateras under processens gång samt inför genomgång inför slutbesked (relation). Det är även ett underlag för verifiering av energikraven i energideklarationen, genom uppmätta värden eller beräkning. </a:t>
          </a:r>
          <a:r>
            <a:rPr lang="sv-SE" sz="1100">
              <a:solidFill>
                <a:schemeClr val="dk1"/>
              </a:solidFill>
              <a:effectLst/>
              <a:latin typeface="Franklin Gothic Book" panose="020B0503020102020204" pitchFamily="34" charset="0"/>
              <a:ea typeface="+mn-ea"/>
              <a:cs typeface="+mn-cs"/>
            </a:rPr>
            <a:t>Formuläret är samtidigt en redovisning av om beställarens/byggherrens krav har uppnåtts eller inte.</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pPr indent="180340"/>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Kommunens kontroll med stöd av detta formulär är tänkt att kunna göras med olika ambitionsnivå, från övergripande uppgifter om fastigheten och de summerade energikraven, till en närmare gran­skning av bakgrundsuppgifter som använts för redovisad energianvändning enligt BBR. </a:t>
          </a:r>
        </a:p>
        <a:p>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Lagkraven ställs i PBL 10 kap. om genomförande av byggåtgärder, i BBR 9 kap. om energihushållningskraven, i BEN (BFS 2020:4) om fastställande av byggnadens energianvändning vid normalt brukande och ett normalår samt i Lag (2006:985) om energideklaration för byggnader.</a:t>
          </a:r>
        </a:p>
        <a:p>
          <a:pPr indent="180340"/>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Formuläret täcker inte alla uppgifter som kan vara relevanta för säkerställande av energiprestanda i en kontrollplan (t.ex termografering). Att detta formulär endast omfattar energihushållning innebär inte att det ska ses som viktigare än övriga funktionskrav i BBR. Ur kommunens perspektiv är det viktigast att byggherrens hela kontrollorganisation fungerar.</a:t>
          </a:r>
        </a:p>
        <a:p>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br>
            <a:rPr lang="sv-SE" sz="1000">
              <a:effectLst/>
              <a:latin typeface="Franklin Gothic Book" panose="020B0503020102020204" pitchFamily="34" charset="0"/>
              <a:ea typeface="Times New Roman" panose="02020603050405020304" pitchFamily="18" charset="0"/>
              <a:cs typeface="Arial" panose="020B0604020202020204" pitchFamily="34" charset="0"/>
            </a:rPr>
          </a:br>
          <a:r>
            <a:rPr lang="sv-SE" sz="1000">
              <a:effectLst/>
              <a:latin typeface="Franklin Gothic Book" panose="020B0503020102020204" pitchFamily="34" charset="0"/>
              <a:ea typeface="Times New Roman" panose="02020603050405020304" pitchFamily="18" charset="0"/>
              <a:cs typeface="Arial" panose="020B0604020202020204" pitchFamily="34" charset="0"/>
            </a:rPr>
            <a:t> </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endParaRPr lang="sv-SE" sz="1000">
            <a:effectLst/>
            <a:latin typeface="Franklin Gothic Book" panose="020B0503020102020204" pitchFamily="34" charset="0"/>
            <a:ea typeface="Times New Roman" panose="02020603050405020304" pitchFamily="18" charset="0"/>
            <a:cs typeface="Times New Roman" panose="02020603050405020304" pitchFamily="18"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8</xdr:col>
      <xdr:colOff>1421074</xdr:colOff>
      <xdr:row>0</xdr:row>
      <xdr:rowOff>85725</xdr:rowOff>
    </xdr:from>
    <xdr:to>
      <xdr:col>8</xdr:col>
      <xdr:colOff>2543175</xdr:colOff>
      <xdr:row>0</xdr:row>
      <xdr:rowOff>571500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55349" y="85725"/>
          <a:ext cx="1122101" cy="485775"/>
        </a:xfrm>
        <a:prstGeom prst="rect">
          <a:avLst/>
        </a:prstGeom>
      </xdr:spPr>
    </xdr:pic>
    <xdr:clientData/>
  </xdr:twoCellAnchor>
  <xdr:twoCellAnchor editAs="oneCell">
    <xdr:from>
      <xdr:col>8</xdr:col>
      <xdr:colOff>2619376</xdr:colOff>
      <xdr:row>0</xdr:row>
      <xdr:rowOff>38099</xdr:rowOff>
    </xdr:from>
    <xdr:to>
      <xdr:col>9</xdr:col>
      <xdr:colOff>361083</xdr:colOff>
      <xdr:row>0</xdr:row>
      <xdr:rowOff>530784</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153651" y="38099"/>
          <a:ext cx="1142132" cy="49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23</xdr:row>
          <xdr:rowOff>200025</xdr:rowOff>
        </xdr:from>
        <xdr:to>
          <xdr:col>6</xdr:col>
          <xdr:colOff>552450</xdr:colOff>
          <xdr:row>25</xdr:row>
          <xdr:rowOff>9525</xdr:rowOff>
        </xdr:to>
        <xdr:sp macro="" textlink="">
          <xdr:nvSpPr>
            <xdr:cNvPr id="71729" name="Kryssruta 20" hidden="1">
              <a:extLst>
                <a:ext uri="{63B3BB69-23CF-44E3-9099-C40C66FF867C}">
                  <a14:compatExt spid="_x0000_s71729"/>
                </a:ext>
                <a:ext uri="{FF2B5EF4-FFF2-40B4-BE49-F238E27FC236}">
                  <a16:creationId xmlns:a16="http://schemas.microsoft.com/office/drawing/2014/main" id="{00000000-0008-0000-01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171450</xdr:rowOff>
        </xdr:from>
        <xdr:to>
          <xdr:col>6</xdr:col>
          <xdr:colOff>409575</xdr:colOff>
          <xdr:row>23</xdr:row>
          <xdr:rowOff>57150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1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200025</xdr:rowOff>
        </xdr:from>
        <xdr:to>
          <xdr:col>7</xdr:col>
          <xdr:colOff>228600</xdr:colOff>
          <xdr:row>8</xdr:row>
          <xdr:rowOff>9525</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1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190500</xdr:rowOff>
        </xdr:from>
        <xdr:to>
          <xdr:col>8</xdr:col>
          <xdr:colOff>409575</xdr:colOff>
          <xdr:row>26</xdr:row>
          <xdr:rowOff>209550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1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7</xdr:col>
          <xdr:colOff>647700</xdr:colOff>
          <xdr:row>26</xdr:row>
          <xdr:rowOff>28575</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0</xdr:rowOff>
        </xdr:from>
        <xdr:to>
          <xdr:col>7</xdr:col>
          <xdr:colOff>247650</xdr:colOff>
          <xdr:row>6</xdr:row>
          <xdr:rowOff>28575</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0</xdr:rowOff>
        </xdr:from>
        <xdr:to>
          <xdr:col>7</xdr:col>
          <xdr:colOff>180975</xdr:colOff>
          <xdr:row>7</xdr:row>
          <xdr:rowOff>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171450</xdr:rowOff>
        </xdr:from>
        <xdr:to>
          <xdr:col>7</xdr:col>
          <xdr:colOff>561975</xdr:colOff>
          <xdr:row>27</xdr:row>
          <xdr:rowOff>200025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Annat system,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123825</xdr:rowOff>
        </xdr:from>
        <xdr:to>
          <xdr:col>6</xdr:col>
          <xdr:colOff>695325</xdr:colOff>
          <xdr:row>19</xdr:row>
          <xdr:rowOff>57150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1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152400</xdr:rowOff>
        </xdr:from>
        <xdr:to>
          <xdr:col>7</xdr:col>
          <xdr:colOff>38100</xdr:colOff>
          <xdr:row>19</xdr:row>
          <xdr:rowOff>180975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190500</xdr:rowOff>
        </xdr:from>
        <xdr:to>
          <xdr:col>7</xdr:col>
          <xdr:colOff>219075</xdr:colOff>
          <xdr:row>20</xdr:row>
          <xdr:rowOff>190500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0</xdr:rowOff>
        </xdr:from>
        <xdr:to>
          <xdr:col>8</xdr:col>
          <xdr:colOff>28575</xdr:colOff>
          <xdr:row>11</xdr:row>
          <xdr:rowOff>28575</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1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190500</xdr:rowOff>
        </xdr:from>
        <xdr:to>
          <xdr:col>8</xdr:col>
          <xdr:colOff>409575</xdr:colOff>
          <xdr:row>13</xdr:row>
          <xdr:rowOff>9525</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1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171450</xdr:rowOff>
        </xdr:from>
        <xdr:to>
          <xdr:col>8</xdr:col>
          <xdr:colOff>609600</xdr:colOff>
          <xdr:row>12</xdr:row>
          <xdr:rowOff>9525</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1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228600</xdr:colOff>
          <xdr:row>14</xdr:row>
          <xdr:rowOff>28575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1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161925</xdr:rowOff>
        </xdr:from>
        <xdr:to>
          <xdr:col>7</xdr:col>
          <xdr:colOff>219075</xdr:colOff>
          <xdr:row>15</xdr:row>
          <xdr:rowOff>28575</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1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161925</xdr:rowOff>
        </xdr:from>
        <xdr:to>
          <xdr:col>7</xdr:col>
          <xdr:colOff>247650</xdr:colOff>
          <xdr:row>16</xdr:row>
          <xdr:rowOff>28575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1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180975</xdr:rowOff>
        </xdr:from>
        <xdr:to>
          <xdr:col>8</xdr:col>
          <xdr:colOff>266700</xdr:colOff>
          <xdr:row>17</xdr:row>
          <xdr:rowOff>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1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180975</xdr:rowOff>
        </xdr:from>
        <xdr:to>
          <xdr:col>8</xdr:col>
          <xdr:colOff>57150</xdr:colOff>
          <xdr:row>9</xdr:row>
          <xdr:rowOff>28575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1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8</xdr:col>
          <xdr:colOff>323850</xdr:colOff>
          <xdr:row>17</xdr:row>
          <xdr:rowOff>180975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1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Energieffektiva armaturer (A-klass)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171450</xdr:rowOff>
        </xdr:from>
        <xdr:to>
          <xdr:col>6</xdr:col>
          <xdr:colOff>409575</xdr:colOff>
          <xdr:row>24</xdr:row>
          <xdr:rowOff>38100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1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FX</a:t>
              </a:r>
            </a:p>
          </xdr:txBody>
        </xdr:sp>
        <xdr:clientData fLocksWithSheet="0"/>
      </xdr:twoCellAnchor>
    </mc:Choice>
    <mc:Fallback/>
  </mc:AlternateContent>
  <xdr:twoCellAnchor editAs="oneCell">
    <xdr:from>
      <xdr:col>0</xdr:col>
      <xdr:colOff>107157</xdr:colOff>
      <xdr:row>0</xdr:row>
      <xdr:rowOff>71438</xdr:rowOff>
    </xdr:from>
    <xdr:to>
      <xdr:col>1</xdr:col>
      <xdr:colOff>1549952</xdr:colOff>
      <xdr:row>3</xdr:row>
      <xdr:rowOff>79681</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7157" y="71438"/>
          <a:ext cx="1609483" cy="603556"/>
        </a:xfrm>
        <a:prstGeom prst="rect">
          <a:avLst/>
        </a:prstGeom>
      </xdr:spPr>
    </xdr:pic>
    <xdr:clientData/>
  </xdr:twoCellAnchor>
  <xdr:twoCellAnchor editAs="oneCell">
    <xdr:from>
      <xdr:col>12</xdr:col>
      <xdr:colOff>119062</xdr:colOff>
      <xdr:row>0</xdr:row>
      <xdr:rowOff>82021</xdr:rowOff>
    </xdr:from>
    <xdr:to>
      <xdr:col>14</xdr:col>
      <xdr:colOff>147382</xdr:colOff>
      <xdr:row>3</xdr:row>
      <xdr:rowOff>124175</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295062" y="82021"/>
          <a:ext cx="1467653" cy="634821"/>
        </a:xfrm>
        <a:prstGeom prst="rect">
          <a:avLst/>
        </a:prstGeom>
      </xdr:spPr>
    </xdr:pic>
    <xdr:clientData/>
  </xdr:twoCellAnchor>
  <xdr:twoCellAnchor editAs="oneCell">
    <xdr:from>
      <xdr:col>1</xdr:col>
      <xdr:colOff>35717</xdr:colOff>
      <xdr:row>75</xdr:row>
      <xdr:rowOff>47626</xdr:rowOff>
    </xdr:from>
    <xdr:to>
      <xdr:col>3</xdr:col>
      <xdr:colOff>465666</xdr:colOff>
      <xdr:row>98</xdr:row>
      <xdr:rowOff>17471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202405" y="16525876"/>
          <a:ext cx="5083969" cy="4410876"/>
        </a:xfrm>
        <a:prstGeom prst="rect">
          <a:avLst/>
        </a:prstGeom>
      </xdr:spPr>
    </xdr:pic>
    <xdr:clientData/>
  </xdr:twoCellAnchor>
  <xdr:twoCellAnchor editAs="oneCell">
    <xdr:from>
      <xdr:col>5</xdr:col>
      <xdr:colOff>47626</xdr:colOff>
      <xdr:row>75</xdr:row>
      <xdr:rowOff>47624</xdr:rowOff>
    </xdr:from>
    <xdr:to>
      <xdr:col>13</xdr:col>
      <xdr:colOff>383411</xdr:colOff>
      <xdr:row>97</xdr:row>
      <xdr:rowOff>166935</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453189" y="16525874"/>
          <a:ext cx="6114286" cy="4369842"/>
        </a:xfrm>
        <a:prstGeom prst="rect">
          <a:avLst/>
        </a:prstGeom>
        <a:ln w="12700">
          <a:solidFill>
            <a:schemeClr val="tx1"/>
          </a:solidFill>
        </a:ln>
      </xdr:spPr>
    </xdr:pic>
    <xdr:clientData/>
  </xdr:twoCellAnchor>
  <xdr:oneCellAnchor>
    <xdr:from>
      <xdr:col>18</xdr:col>
      <xdr:colOff>141023</xdr:colOff>
      <xdr:row>28</xdr:row>
      <xdr:rowOff>204260</xdr:rowOff>
    </xdr:from>
    <xdr:ext cx="2655095" cy="2207416"/>
    <xdr:sp macro="" textlink="">
      <xdr:nvSpPr>
        <xdr:cNvPr id="30" name="textruta 29">
          <a:extLst>
            <a:ext uri="{FF2B5EF4-FFF2-40B4-BE49-F238E27FC236}">
              <a16:creationId xmlns:a16="http://schemas.microsoft.com/office/drawing/2014/main" id="{00000000-0008-0000-0100-00001E000000}"/>
            </a:ext>
          </a:extLst>
        </xdr:cNvPr>
        <xdr:cNvSpPr txBox="1"/>
      </xdr:nvSpPr>
      <xdr:spPr>
        <a:xfrm>
          <a:off x="15709106" y="5993343"/>
          <a:ext cx="2655095" cy="2207416"/>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Här anger byggherren mätinstallationer för att säkerställa att byggnadens energianvändning och primärenergital kan verifieras med mätning och normalisering enligt BEN. Enligt BBR ska byggnadens energianvändning kontinuerligt kunna följas upp genom ett mätsystem som kan avläsas så att energianvändningen för önskad tidsperiod kan fastställas. Enligt allmänt råd bör uppvärmning, komfortkyla, tappvarmvatten och fastighetsenergi kunna mätas separat. (BBR 9:7).</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8</xdr:row>
          <xdr:rowOff>190500</xdr:rowOff>
        </xdr:from>
        <xdr:to>
          <xdr:col>9</xdr:col>
          <xdr:colOff>171450</xdr:colOff>
          <xdr:row>9</xdr:row>
          <xdr:rowOff>190500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1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Värmeslinga (el) för snösmältning / komfort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200025</xdr:rowOff>
        </xdr:from>
        <xdr:to>
          <xdr:col>7</xdr:col>
          <xdr:colOff>219075</xdr:colOff>
          <xdr:row>22</xdr:row>
          <xdr:rowOff>0</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1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Solceller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42861</xdr:colOff>
      <xdr:row>0</xdr:row>
      <xdr:rowOff>0</xdr:rowOff>
    </xdr:from>
    <xdr:ext cx="5873222" cy="1567657"/>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1663361" y="0"/>
          <a:ext cx="5873222" cy="1567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Fyll i uppdelat beräkningsresultat i tillämpliga vita rutor i tabellen, kWh/m2Atemp. Tabellen är till för att möjliggöra granskning av hur beräkningsresultatet tagits fram. Kompletteras även med indatasidorna.</a:t>
          </a:r>
        </a:p>
        <a:p>
          <a:r>
            <a:rPr lang="sv-SE" sz="1000">
              <a:solidFill>
                <a:schemeClr val="dk1"/>
              </a:solidFill>
              <a:latin typeface="Franklin Gothic Book" panose="020B0503020102020204" pitchFamily="34" charset="0"/>
              <a:ea typeface="+mn-ea"/>
              <a:cs typeface="+mn-cs"/>
            </a:rPr>
            <a:t>Vissa resultat länkas vidare till andra flikar.</a:t>
          </a:r>
        </a:p>
        <a:p>
          <a:r>
            <a:rPr lang="sv-SE" sz="1000">
              <a:solidFill>
                <a:schemeClr val="dk1"/>
              </a:solidFill>
              <a:latin typeface="Franklin Gothic Book" panose="020B0503020102020204" pitchFamily="34" charset="0"/>
              <a:ea typeface="+mn-ea"/>
              <a:cs typeface="+mn-cs"/>
            </a:rPr>
            <a:t>Enligt BEN ska beräkningar göras med säkerhetsmarginal. Det kan göras i delar för olika förluster och vädring och/eller som ett generellt påslag på hela beräkningen. </a:t>
          </a:r>
        </a:p>
        <a:p>
          <a:r>
            <a:rPr lang="sv-SE" sz="1000">
              <a:solidFill>
                <a:schemeClr val="dk1"/>
              </a:solidFill>
              <a:latin typeface="Franklin Gothic Book" panose="020B0503020102020204" pitchFamily="34" charset="0"/>
              <a:ea typeface="+mn-ea"/>
              <a:cs typeface="+mn-cs"/>
            </a:rPr>
            <a:t>Vid beräkning av energianvändningen används normalt utomhusklimat för orten.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Månadsresultat</a:t>
          </a:r>
          <a:r>
            <a:rPr lang="sv-SE" sz="1000" baseline="0">
              <a:solidFill>
                <a:schemeClr val="dk1"/>
              </a:solidFill>
              <a:latin typeface="Franklin Gothic Book" panose="020B0503020102020204" pitchFamily="34" charset="0"/>
              <a:ea typeface="+mn-ea"/>
              <a:cs typeface="+mn-cs"/>
            </a:rPr>
            <a:t> fylls i under fliken Inmatning och verifiering.</a:t>
          </a:r>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Byggnadens primärenergital beräknas i separat flik och syns i fliken Start och resultat.</a:t>
          </a:r>
        </a:p>
      </xdr:txBody>
    </xdr:sp>
    <xdr:clientData/>
  </xdr:oneCellAnchor>
  <xdr:twoCellAnchor editAs="oneCell">
    <xdr:from>
      <xdr:col>1</xdr:col>
      <xdr:colOff>0</xdr:colOff>
      <xdr:row>0</xdr:row>
      <xdr:rowOff>35719</xdr:rowOff>
    </xdr:from>
    <xdr:to>
      <xdr:col>2</xdr:col>
      <xdr:colOff>295034</xdr:colOff>
      <xdr:row>0</xdr:row>
      <xdr:rowOff>639275</xdr:rowOff>
    </xdr:to>
    <xdr:pic>
      <xdr:nvPicPr>
        <xdr:cNvPr id="5" name="Bildobjekt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0969" y="35719"/>
          <a:ext cx="1604720" cy="603556"/>
        </a:xfrm>
        <a:prstGeom prst="rect">
          <a:avLst/>
        </a:prstGeom>
      </xdr:spPr>
    </xdr:pic>
    <xdr:clientData/>
  </xdr:twoCellAnchor>
  <xdr:twoCellAnchor editAs="oneCell">
    <xdr:from>
      <xdr:col>6</xdr:col>
      <xdr:colOff>1031081</xdr:colOff>
      <xdr:row>0</xdr:row>
      <xdr:rowOff>47625</xdr:rowOff>
    </xdr:from>
    <xdr:to>
      <xdr:col>6</xdr:col>
      <xdr:colOff>2461948</xdr:colOff>
      <xdr:row>0</xdr:row>
      <xdr:rowOff>659257</xdr:rowOff>
    </xdr:to>
    <xdr:pic>
      <xdr:nvPicPr>
        <xdr:cNvPr id="7" name="Bildobjekt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10186987" y="47625"/>
          <a:ext cx="1430867" cy="611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33867</xdr:colOff>
      <xdr:row>0</xdr:row>
      <xdr:rowOff>196850</xdr:rowOff>
    </xdr:from>
    <xdr:to>
      <xdr:col>8</xdr:col>
      <xdr:colOff>974990</xdr:colOff>
      <xdr:row>1</xdr:row>
      <xdr:rowOff>74084</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6832336" y="196850"/>
          <a:ext cx="2762779" cy="55589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Book" panose="020B0503020102020204" pitchFamily="34" charset="0"/>
              <a:ea typeface="+mn-ea"/>
              <a:cs typeface="+mn-cs"/>
            </a:rPr>
            <a:t>Indatablanketter för energiberäkning enligt BEN. – upprepat ifyllande med utförda ändringar vid</a:t>
          </a:r>
          <a:r>
            <a:rPr lang="sv-SE" sz="1000" baseline="0">
              <a:solidFill>
                <a:schemeClr val="dk1"/>
              </a:solidFill>
              <a:latin typeface="Franklin Gothic Book" panose="020B0503020102020204" pitchFamily="34" charset="0"/>
              <a:ea typeface="+mn-ea"/>
              <a:cs typeface="+mn-cs"/>
            </a:rPr>
            <a:t> renovering</a:t>
          </a:r>
          <a:r>
            <a:rPr lang="sv-SE" sz="1000">
              <a:solidFill>
                <a:schemeClr val="dk1"/>
              </a:solidFill>
              <a:latin typeface="Franklin Gothic Book" panose="020B0503020102020204" pitchFamily="34" charset="0"/>
              <a:ea typeface="+mn-ea"/>
              <a:cs typeface="+mn-cs"/>
            </a:rPr>
            <a:t>.</a:t>
          </a:r>
        </a:p>
      </xdr:txBody>
    </xdr:sp>
    <xdr:clientData/>
  </xdr:twoCellAnchor>
  <xdr:twoCellAnchor editAs="oneCell">
    <xdr:from>
      <xdr:col>0</xdr:col>
      <xdr:colOff>61913</xdr:colOff>
      <xdr:row>0</xdr:row>
      <xdr:rowOff>40481</xdr:rowOff>
    </xdr:from>
    <xdr:to>
      <xdr:col>1</xdr:col>
      <xdr:colOff>1574029</xdr:colOff>
      <xdr:row>0</xdr:row>
      <xdr:rowOff>644037</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1913" y="40481"/>
          <a:ext cx="1607366" cy="603556"/>
        </a:xfrm>
        <a:prstGeom prst="rect">
          <a:avLst/>
        </a:prstGeom>
      </xdr:spPr>
    </xdr:pic>
    <xdr:clientData/>
  </xdr:twoCellAnchor>
  <xdr:twoCellAnchor>
    <xdr:from>
      <xdr:col>9</xdr:col>
      <xdr:colOff>112448</xdr:colOff>
      <xdr:row>1</xdr:row>
      <xdr:rowOff>193673</xdr:rowOff>
    </xdr:from>
    <xdr:to>
      <xdr:col>12</xdr:col>
      <xdr:colOff>488158</xdr:colOff>
      <xdr:row>13</xdr:row>
      <xdr:rowOff>47623</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11471011" y="872329"/>
          <a:ext cx="3102241" cy="23423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klimatskärmsdata</a:t>
          </a:r>
        </a:p>
        <a:p>
          <a:r>
            <a:rPr lang="sv-SE" sz="1000">
              <a:solidFill>
                <a:schemeClr val="dk1"/>
              </a:solidFill>
              <a:latin typeface="Franklin Gothic Book" panose="020B0503020102020204" pitchFamily="34" charset="0"/>
              <a:ea typeface="+mn-ea"/>
              <a:cs typeface="+mn-cs"/>
            </a:rPr>
            <a:t>Redovisa  konstruktionsdelars areor och U-värden samt köldbryggors värden för beräkning av Um, enligt formel i BBR kap 9. Observera att ”overall internal” mått gäller för areor på resp. byggnadsdel, samt karmyttermått för fönster och dörrars U-värde.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Om U-medelvärde redan finns beräknat, kan det sättas in</a:t>
          </a:r>
          <a:r>
            <a:rPr lang="sv-SE" sz="1000" baseline="0">
              <a:solidFill>
                <a:schemeClr val="dk1"/>
              </a:solidFill>
              <a:latin typeface="Franklin Gothic Book" panose="020B0503020102020204" pitchFamily="34" charset="0"/>
              <a:ea typeface="+mn-ea"/>
              <a:cs typeface="+mn-cs"/>
            </a:rPr>
            <a:t> i U-värdeskolumnen på valfri rad, tillsammans med valfri area.</a:t>
          </a:r>
          <a:endParaRPr lang="sv-SE" sz="1000">
            <a:solidFill>
              <a:schemeClr val="dk1"/>
            </a:solidFill>
            <a:latin typeface="Franklin Gothic Book" panose="020B0503020102020204" pitchFamily="34" charset="0"/>
            <a:ea typeface="+mn-ea"/>
            <a:cs typeface="+mn-cs"/>
          </a:endParaRP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Relevanta rader och rutor fylls i. 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Vid behov</a:t>
          </a:r>
          <a:r>
            <a:rPr lang="sv-SE" sz="1000" baseline="0">
              <a:solidFill>
                <a:schemeClr val="dk1"/>
              </a:solidFill>
              <a:latin typeface="Franklin Gothic Book" panose="020B0503020102020204" pitchFamily="34" charset="0"/>
              <a:ea typeface="+mn-ea"/>
              <a:cs typeface="+mn-cs"/>
            </a:rPr>
            <a:t> kan egna rader läggas till.</a:t>
          </a:r>
          <a:endParaRPr lang="sv-SE" sz="1000">
            <a:solidFill>
              <a:schemeClr val="dk1"/>
            </a:solidFill>
            <a:latin typeface="Franklin Gothic Book" panose="020B0503020102020204" pitchFamily="34" charset="0"/>
            <a:ea typeface="+mn-ea"/>
            <a:cs typeface="+mn-cs"/>
          </a:endParaRPr>
        </a:p>
      </xdr:txBody>
    </xdr:sp>
    <xdr:clientData/>
  </xdr:twoCellAnchor>
  <xdr:twoCellAnchor editAs="oneCell">
    <xdr:from>
      <xdr:col>8</xdr:col>
      <xdr:colOff>1302809</xdr:colOff>
      <xdr:row>0</xdr:row>
      <xdr:rowOff>141816</xdr:rowOff>
    </xdr:from>
    <xdr:to>
      <xdr:col>8</xdr:col>
      <xdr:colOff>2733676</xdr:colOff>
      <xdr:row>1</xdr:row>
      <xdr:rowOff>76115</xdr:rowOff>
    </xdr:to>
    <xdr:pic>
      <xdr:nvPicPr>
        <xdr:cNvPr id="6" name="Bildobjekt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875309" y="141816"/>
          <a:ext cx="1430867" cy="611632"/>
        </a:xfrm>
        <a:prstGeom prst="rect">
          <a:avLst/>
        </a:prstGeom>
      </xdr:spPr>
    </xdr:pic>
    <xdr:clientData/>
  </xdr:twoCellAnchor>
  <xdr:oneCellAnchor>
    <xdr:from>
      <xdr:col>9</xdr:col>
      <xdr:colOff>83609</xdr:colOff>
      <xdr:row>43</xdr:row>
      <xdr:rowOff>3968</xdr:rowOff>
    </xdr:from>
    <xdr:ext cx="3535890" cy="1674813"/>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1442172" y="9183687"/>
          <a:ext cx="3535890" cy="1674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0" i="0" u="none" strike="noStrike">
              <a:solidFill>
                <a:schemeClr val="dk1"/>
              </a:solidFill>
              <a:effectLst/>
              <a:latin typeface="Franklin Gothic Demi" panose="020B0703020102020204" pitchFamily="34" charset="0"/>
              <a:ea typeface="+mn-ea"/>
              <a:cs typeface="+mn-cs"/>
            </a:rPr>
            <a:t>Anvisning</a:t>
          </a:r>
        </a:p>
        <a:p>
          <a:r>
            <a:rPr lang="sv-SE" sz="1000" b="0" i="0" u="none" strike="noStrike">
              <a:solidFill>
                <a:schemeClr val="dk1"/>
              </a:solidFill>
              <a:effectLst/>
              <a:latin typeface="Franklin Gothic Book" panose="020B0503020102020204" pitchFamily="34" charset="0"/>
              <a:ea typeface="+mn-ea"/>
              <a:cs typeface="+mn-cs"/>
            </a:rPr>
            <a:t>Indatablanketter för energiberäkning enligt BEN – upprepat ifyllande med utförda ändringar inför slutbesked. Enklare blankett kan användas för bostäder.</a:t>
          </a:r>
          <a:r>
            <a:rPr lang="sv-SE" sz="1000">
              <a:effectLst/>
              <a:latin typeface="Franklin Gothic Book" panose="020B0503020102020204" pitchFamily="34" charset="0"/>
            </a:rPr>
            <a:t> </a:t>
          </a:r>
          <a:r>
            <a:rPr lang="sv-SE" sz="1000">
              <a:solidFill>
                <a:schemeClr val="dk1"/>
              </a:solidFill>
              <a:latin typeface="Franklin Gothic Book" panose="020B0503020102020204" pitchFamily="34" charset="0"/>
              <a:ea typeface="+mn-ea"/>
              <a:cs typeface="+mn-cs"/>
            </a:rPr>
            <a:t>Enligt BBR ska installationer  för värme och kyla utformas så att effektbehovet begränsas och energin används effektivt. Byggnaden bör vad avser reglering av tillförsel av värme, kyla och ventilation delas in i zoner bl. a med hänsyn till användning, orientering och planlösning. Allmänt råd finns också om specifik fläkteleffekt (SFP).</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149677</xdr:colOff>
      <xdr:row>1</xdr:row>
      <xdr:rowOff>181431</xdr:rowOff>
    </xdr:from>
    <xdr:ext cx="4396357" cy="928407"/>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422820" y="399145"/>
          <a:ext cx="4396357" cy="92840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11378</xdr:colOff>
      <xdr:row>0</xdr:row>
      <xdr:rowOff>40218</xdr:rowOff>
    </xdr:from>
    <xdr:to>
      <xdr:col>2</xdr:col>
      <xdr:colOff>1577182</xdr:colOff>
      <xdr:row>1</xdr:row>
      <xdr:rowOff>662705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30441" y="40218"/>
          <a:ext cx="1865841" cy="809812"/>
        </a:xfrm>
        <a:prstGeom prst="rect">
          <a:avLst/>
        </a:prstGeom>
      </xdr:spPr>
    </xdr:pic>
    <xdr:clientData/>
  </xdr:twoCellAnchor>
  <xdr:twoCellAnchor editAs="oneCell">
    <xdr:from>
      <xdr:col>5</xdr:col>
      <xdr:colOff>868363</xdr:colOff>
      <xdr:row>0</xdr:row>
      <xdr:rowOff>179917</xdr:rowOff>
    </xdr:from>
    <xdr:to>
      <xdr:col>7</xdr:col>
      <xdr:colOff>280988</xdr:colOff>
      <xdr:row>1</xdr:row>
      <xdr:rowOff>625225</xdr:rowOff>
    </xdr:to>
    <xdr:pic>
      <xdr:nvPicPr>
        <xdr:cNvPr id="6" name="Bildobjekt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7853363" y="179917"/>
          <a:ext cx="1552575" cy="626283"/>
        </a:xfrm>
        <a:prstGeom prst="rect">
          <a:avLst/>
        </a:prstGeom>
      </xdr:spPr>
    </xdr:pic>
    <xdr:clientData/>
  </xdr:twoCellAnchor>
  <xdr:twoCellAnchor>
    <xdr:from>
      <xdr:col>7</xdr:col>
      <xdr:colOff>190500</xdr:colOff>
      <xdr:row>1</xdr:row>
      <xdr:rowOff>702469</xdr:rowOff>
    </xdr:from>
    <xdr:to>
      <xdr:col>16</xdr:col>
      <xdr:colOff>166688</xdr:colOff>
      <xdr:row>15</xdr:row>
      <xdr:rowOff>95250</xdr:rowOff>
    </xdr:to>
    <xdr:sp macro="" textlink="">
      <xdr:nvSpPr>
        <xdr:cNvPr id="13" name="textruta 12">
          <a:extLst>
            <a:ext uri="{FF2B5EF4-FFF2-40B4-BE49-F238E27FC236}">
              <a16:creationId xmlns:a16="http://schemas.microsoft.com/office/drawing/2014/main" id="{00000000-0008-0000-0500-00000D000000}"/>
            </a:ext>
          </a:extLst>
        </xdr:cNvPr>
        <xdr:cNvSpPr txBox="1"/>
      </xdr:nvSpPr>
      <xdr:spPr>
        <a:xfrm>
          <a:off x="9405938" y="892969"/>
          <a:ext cx="5441156" cy="3738562"/>
        </a:xfrm>
        <a:prstGeom prst="rect">
          <a:avLst/>
        </a:prstGeom>
        <a:solidFill>
          <a:sysClr val="window" lastClr="FFFFFF">
            <a:lumMod val="75000"/>
          </a:sys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UHM 1A: Byggnadens nettovärmeenergi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Byggnadens nettovärmeenergi över ett normalår är en delmängd av byggnadens energianvändning (se nedan). Byggnadens nettovärmeenergi definieras här som den energi i form av värme (kWh) som byggnaden behöver för uppvärmning till definierad normal rumstemperatur. Till nettovärmeenergin räknas också värmeenergi som alstras inom fastighetsgränsen och som tillförs byggnaden, så som solvärme, bidrag till uppvärmningen från solceller får inte heller avräknas. Till nettovärmeenergin räknas också förluster, genom vädring och i alla ledningssystem och undercentraler, som byggnaden inte tillgodogör sig som uppvärmning. Då värmepump används så avses med värmeenergi, den energi i form av värme som värmepumpen levererar till värmedistributionssystemet (eller inomhusluften), efter avdrag för tappvarmvatten (om tappvarmvattnet ingår i samma system), samt i övrigt enligt definitionen av byggnadens nettovärmeenergi. Förvärmning av uteluftsflöde (tilluft) ska räknas till nettovärmeenergin. Om golvvärme, handdukstork eller annan apparat för uppvärmning installeras, inräknas även den värmeenergin. Uppvärmning av tappvarmvatten räknas inte in. (Byggnadens nettovärmeenergi avgränsas alltså inte på samma sätt som BBR:s energi för uppvärmning.) Förutsättningar i övrigt följer gällande BBR. (BBR: Boverkets byggregler 2011:6 – föreskrifter och allmänna råd, till och med ändringsförfattnings BFS 2020:4 – BBR29. Och senare versioner.) För normalisering (”normalår”) se textrutan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Beräkning och verifiering av UHM 1A: Byggnadens nettovärmeenergi och UHM 1B: Byggnadens energianvändning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Upphandlingsmyndighetens kriterier: </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11375 Krav på byggnadens värme- och energianvändning – krav att använda i upphandling för tidiga skeden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eller</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  11374 Krav på byggnadens värme- och energianvändning – krav att använda vid upphandling av projektering och totalentreprenad. Se www.upphandlingsmyndigheten.se/kriterier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xdr:txBody>
    </xdr:sp>
    <xdr:clientData/>
  </xdr:twoCellAnchor>
  <xdr:twoCellAnchor>
    <xdr:from>
      <xdr:col>7</xdr:col>
      <xdr:colOff>202406</xdr:colOff>
      <xdr:row>17</xdr:row>
      <xdr:rowOff>-1</xdr:rowOff>
    </xdr:from>
    <xdr:to>
      <xdr:col>15</xdr:col>
      <xdr:colOff>192881</xdr:colOff>
      <xdr:row>24</xdr:row>
      <xdr:rowOff>107156</xdr:rowOff>
    </xdr:to>
    <xdr:sp macro="" textlink="">
      <xdr:nvSpPr>
        <xdr:cNvPr id="26" name="textruta 25">
          <a:extLst>
            <a:ext uri="{FF2B5EF4-FFF2-40B4-BE49-F238E27FC236}">
              <a16:creationId xmlns:a16="http://schemas.microsoft.com/office/drawing/2014/main" id="{00000000-0008-0000-0500-00001A000000}"/>
            </a:ext>
          </a:extLst>
        </xdr:cNvPr>
        <xdr:cNvSpPr txBox="1"/>
      </xdr:nvSpPr>
      <xdr:spPr>
        <a:xfrm>
          <a:off x="9417844" y="4929187"/>
          <a:ext cx="4848225" cy="2309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chemeClr val="tx1"/>
              </a:solidFill>
              <a:latin typeface="Franklin Gothic Book" panose="020B0503020102020204" pitchFamily="34" charset="0"/>
              <a:ea typeface="+mn-ea"/>
              <a:cs typeface="+mn-cs"/>
            </a:rPr>
            <a:t>UHM 1B: Byggnadens energianvändning </a:t>
          </a:r>
          <a:r>
            <a:rPr lang="sv-SE" sz="1000">
              <a:solidFill>
                <a:schemeClr val="tx1"/>
              </a:solidFill>
              <a:latin typeface="Franklin Gothic Book" panose="020B0503020102020204" pitchFamily="34" charset="0"/>
              <a:ea typeface="+mn-ea"/>
              <a:cs typeface="+mn-cs"/>
            </a:rPr>
            <a:t>Byggnadens energianvändning över ett normalår definieras här som all den energi som levereras för byggnadens nettovärmeenergi</a:t>
          </a:r>
          <a:r>
            <a:rPr lang="sv-SE" sz="1000" baseline="0">
              <a:solidFill>
                <a:schemeClr val="tx1"/>
              </a:solidFill>
              <a:latin typeface="Franklin Gothic Book" panose="020B0503020102020204" pitchFamily="34" charset="0"/>
              <a:ea typeface="+mn-ea"/>
              <a:cs typeface="+mn-cs"/>
            </a:rPr>
            <a:t> </a:t>
          </a:r>
          <a:r>
            <a:rPr lang="sv-SE" sz="1000">
              <a:solidFill>
                <a:schemeClr val="tx1"/>
              </a:solidFill>
              <a:latin typeface="Franklin Gothic Book" panose="020B0503020102020204" pitchFamily="34" charset="0"/>
              <a:ea typeface="+mn-ea"/>
              <a:cs typeface="+mn-cs"/>
            </a:rPr>
            <a:t>och energi för tappvarmvatten samt byggnadens fastighetsenergi. </a:t>
          </a:r>
        </a:p>
        <a:p>
          <a:r>
            <a:rPr lang="sv-SE" sz="1000">
              <a:solidFill>
                <a:schemeClr val="tx1"/>
              </a:solidFill>
              <a:latin typeface="Franklin Gothic Book" panose="020B0503020102020204" pitchFamily="34" charset="0"/>
              <a:ea typeface="+mn-ea"/>
              <a:cs typeface="+mn-cs"/>
            </a:rPr>
            <a:t>Fjärrkyla (kWh) och el för att alstra kyla ska inräknas in byggnadens energianvändning.  </a:t>
          </a:r>
        </a:p>
        <a:p>
          <a:r>
            <a:rPr lang="sv-SE" sz="1000">
              <a:solidFill>
                <a:schemeClr val="tx1"/>
              </a:solidFill>
              <a:latin typeface="Franklin Gothic Book" panose="020B0503020102020204" pitchFamily="34" charset="0"/>
              <a:ea typeface="+mn-ea"/>
              <a:cs typeface="+mn-cs"/>
            </a:rPr>
            <a:t>Egenproducerad energi så som el från solceller eller solvärme, för tappvarmvatten eller för byggnadens fastighetsenergi ska räknas in i byggnadens energianvändning. I byggnadens energianvändning ingår byggnadens nettovärmeenergi (se </a:t>
          </a:r>
          <a:r>
            <a:rPr lang="sv-SE" sz="1000" b="1">
              <a:solidFill>
                <a:schemeClr val="tx1"/>
              </a:solidFill>
              <a:latin typeface="Franklin Gothic Book" panose="020B0503020102020204" pitchFamily="34" charset="0"/>
              <a:ea typeface="+mn-ea"/>
              <a:cs typeface="+mn-cs"/>
            </a:rPr>
            <a:t>UHM 1A</a:t>
          </a:r>
          <a:r>
            <a:rPr lang="sv-SE" sz="1000">
              <a:solidFill>
                <a:schemeClr val="tx1"/>
              </a:solidFill>
              <a:latin typeface="Franklin Gothic Book" panose="020B0503020102020204" pitchFamily="34" charset="0"/>
              <a:ea typeface="+mn-ea"/>
              <a:cs typeface="+mn-cs"/>
            </a:rPr>
            <a:t>) som en delmängd. Verksamheters och brukares/boendes energianvändning räknas ej in. </a:t>
          </a:r>
        </a:p>
        <a:p>
          <a:r>
            <a:rPr lang="sv-SE" sz="1000">
              <a:solidFill>
                <a:schemeClr val="tx1"/>
              </a:solidFill>
              <a:latin typeface="Franklin Gothic Book" panose="020B0503020102020204" pitchFamily="34" charset="0"/>
              <a:ea typeface="+mn-ea"/>
              <a:cs typeface="+mn-cs"/>
            </a:rPr>
            <a:t>Med byggnadens energianvändning avses inte primärenergitalet. För normalisering (”normalår”) se textrutan </a:t>
          </a:r>
          <a:r>
            <a:rPr lang="sv-SE" sz="1000" b="1">
              <a:solidFill>
                <a:schemeClr val="tx1"/>
              </a:solidFill>
              <a:latin typeface="Franklin Gothic Book" panose="020B0503020102020204" pitchFamily="34" charset="0"/>
              <a:ea typeface="+mn-ea"/>
              <a:cs typeface="+mn-cs"/>
            </a:rPr>
            <a:t>Beräkning och verifiering av UHM 1A: Byggnadens nettovärmeenergi och UHM 1B: Byggnadens energianvändning </a:t>
          </a:r>
        </a:p>
        <a:p>
          <a:r>
            <a:rPr lang="sv-SE" sz="1000">
              <a:solidFill>
                <a:schemeClr val="tx1"/>
              </a:solidFill>
              <a:latin typeface="Franklin Gothic Book" panose="020B0503020102020204" pitchFamily="34" charset="0"/>
              <a:ea typeface="+mn-ea"/>
              <a:cs typeface="+mn-cs"/>
            </a:rPr>
            <a:t>.</a:t>
          </a:r>
        </a:p>
        <a:p>
          <a:r>
            <a:rPr lang="sv-SE" sz="1000">
              <a:solidFill>
                <a:schemeClr val="tx1"/>
              </a:solidFill>
              <a:latin typeface="Franklin Gothic Book" panose="020B0503020102020204" pitchFamily="34" charset="0"/>
              <a:ea typeface="+mn-ea"/>
              <a:cs typeface="+mn-cs"/>
            </a:rPr>
            <a:t>För begränsning av installerad maximal el-effekt så gäller i övrigt Boverkets byggregler.</a:t>
          </a:r>
        </a:p>
        <a:p>
          <a:endParaRPr lang="sv-SE" sz="1000" baseline="0">
            <a:solidFill>
              <a:schemeClr val="tx1"/>
            </a:solidFill>
            <a:latin typeface="Franklin Gothic Book" panose="020B0503020102020204" pitchFamily="34" charset="0"/>
            <a:ea typeface="+mn-ea"/>
            <a:cs typeface="+mn-cs"/>
          </a:endParaRPr>
        </a:p>
        <a:p>
          <a:r>
            <a:rPr lang="sv-SE" sz="1000" b="1" baseline="0">
              <a:solidFill>
                <a:schemeClr val="tx1"/>
              </a:solidFill>
              <a:latin typeface="Franklin Gothic Book" panose="020B0503020102020204" pitchFamily="34" charset="0"/>
              <a:ea typeface="+mn-ea"/>
              <a:cs typeface="+mn-cs"/>
            </a:rPr>
            <a:t>Upphandlingsmyndighetens kriterier:   </a:t>
          </a:r>
          <a:r>
            <a:rPr lang="sv-SE" sz="1000" baseline="0">
              <a:solidFill>
                <a:schemeClr val="tx1"/>
              </a:solidFill>
              <a:latin typeface="Franklin Gothic Book" panose="020B0503020102020204" pitchFamily="34" charset="0"/>
              <a:ea typeface="+mn-ea"/>
              <a:cs typeface="+mn-cs"/>
            </a:rPr>
            <a:t>(se rutan ovan</a:t>
          </a:r>
          <a:r>
            <a:rPr lang="sv-SE" sz="1100">
              <a:solidFill>
                <a:schemeClr val="tx1"/>
              </a:solidFill>
              <a:effectLst/>
              <a:latin typeface="+mn-lt"/>
              <a:ea typeface="+mn-ea"/>
              <a:cs typeface="+mn-cs"/>
            </a:rPr>
            <a:t>) </a:t>
          </a:r>
          <a:endParaRPr lang="sv-SE" sz="1000" b="1">
            <a:solidFill>
              <a:schemeClr val="tx1"/>
            </a:solidFill>
            <a:latin typeface="Franklin Gothic Book" panose="020B0503020102020204" pitchFamily="34" charset="0"/>
            <a:ea typeface="+mn-ea"/>
            <a:cs typeface="+mn-cs"/>
          </a:endParaRPr>
        </a:p>
        <a:p>
          <a:endParaRPr lang="sv-SE" sz="1000">
            <a:solidFill>
              <a:schemeClr val="tx1"/>
            </a:solidFill>
            <a:latin typeface="Franklin Gothic Book" panose="020B0503020102020204" pitchFamily="34" charset="0"/>
            <a:ea typeface="+mn-ea"/>
            <a:cs typeface="+mn-cs"/>
          </a:endParaRPr>
        </a:p>
      </xdr:txBody>
    </xdr:sp>
    <xdr:clientData/>
  </xdr:twoCellAnchor>
  <xdr:twoCellAnchor>
    <xdr:from>
      <xdr:col>1</xdr:col>
      <xdr:colOff>0</xdr:colOff>
      <xdr:row>43</xdr:row>
      <xdr:rowOff>154781</xdr:rowOff>
    </xdr:from>
    <xdr:to>
      <xdr:col>15</xdr:col>
      <xdr:colOff>511969</xdr:colOff>
      <xdr:row>59</xdr:row>
      <xdr:rowOff>166687</xdr:rowOff>
    </xdr:to>
    <xdr:sp macro="" textlink="">
      <xdr:nvSpPr>
        <xdr:cNvPr id="29" name="textruta 28">
          <a:extLst>
            <a:ext uri="{FF2B5EF4-FFF2-40B4-BE49-F238E27FC236}">
              <a16:creationId xmlns:a16="http://schemas.microsoft.com/office/drawing/2014/main" id="{00000000-0008-0000-0500-00001D000000}"/>
            </a:ext>
          </a:extLst>
        </xdr:cNvPr>
        <xdr:cNvSpPr txBox="1"/>
      </xdr:nvSpPr>
      <xdr:spPr>
        <a:xfrm>
          <a:off x="119063" y="11882437"/>
          <a:ext cx="14466094" cy="422671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ysClr val="windowText" lastClr="000000"/>
              </a:solidFill>
              <a:latin typeface="Franklin Gothic Book" panose="020B0503020102020204" pitchFamily="34" charset="0"/>
              <a:ea typeface="+mn-ea"/>
              <a:cs typeface="+mn-cs"/>
            </a:rPr>
            <a:t>Beräkning och</a:t>
          </a:r>
          <a:r>
            <a:rPr lang="sv-SE" sz="1000" b="1" baseline="0">
              <a:solidFill>
                <a:sysClr val="windowText" lastClr="000000"/>
              </a:solidFill>
              <a:latin typeface="Franklin Gothic Book" panose="020B0503020102020204" pitchFamily="34" charset="0"/>
              <a:ea typeface="+mn-ea"/>
              <a:cs typeface="+mn-cs"/>
            </a:rPr>
            <a:t> verifiering av </a:t>
          </a:r>
          <a:r>
            <a:rPr lang="sv-SE" sz="1000" b="1">
              <a:solidFill>
                <a:sysClr val="windowText" lastClr="000000"/>
              </a:solidFill>
              <a:latin typeface="Franklin Gothic Book" panose="020B0503020102020204" pitchFamily="34" charset="0"/>
              <a:ea typeface="+mn-ea"/>
              <a:cs typeface="+mn-cs"/>
            </a:rPr>
            <a:t>UHM 1A</a:t>
          </a:r>
          <a:r>
            <a:rPr lang="sv-SE" sz="1000" b="1" baseline="0">
              <a:solidFill>
                <a:sysClr val="windowText" lastClr="000000"/>
              </a:solidFill>
              <a:latin typeface="Franklin Gothic Book" panose="020B0503020102020204" pitchFamily="34" charset="0"/>
              <a:ea typeface="+mn-ea"/>
              <a:cs typeface="+mn-cs"/>
            </a:rPr>
            <a:t>: Byggnadens nettovärmeenergi och UHM 1B: Byggnadens energianvändning </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för en ännu ej uppförd byggnad ska visas genom beräkningar baserade på gällande handlingar. </a:t>
          </a:r>
        </a:p>
        <a:p>
          <a:r>
            <a:rPr lang="sv-SE" sz="1000">
              <a:solidFill>
                <a:sysClr val="windowText" lastClr="000000"/>
              </a:solidFill>
              <a:latin typeface="Franklin Gothic Book" panose="020B0503020102020204" pitchFamily="34" charset="0"/>
              <a:ea typeface="+mn-ea"/>
              <a:cs typeface="+mn-cs"/>
            </a:rPr>
            <a:t>Beräkningar för en uppförd byggnad ska baseras faktiska värden från mätningar av byggnaden i drift samt korrigeras till normalår och normalt brukande (normalisering). Indata avseende normalisering ska så långt rimligt baseras faktiska värden från mätningar. Metod för normalårskorrigering och val av vilka klimatdatafiler som ska användas ska preciseras i samråd och ska noteras i kontraktet. I händelse av att det inte har preciserats så gäller graddagsmetoden och klimatdatafiler (Sveby - SMHI 1981–2010) enligt Sveby:s Energiavtal 21.</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ska ske enligt beräkningsmetoder i SS-EN ISO 52016–1:2017 Byggnaders energiprestanda - Bygg-och byggnadselement - Energibehov för uppvärmning och kylning, innetemperaturer och sensibel och latent huvudbelastning - Del 1. Beräkningar kan också ske enligt annan likvärdig metod eller med validerade dynamiska simuleringsprogram.</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Energiberäkning ska i övrigt beakta, bland annat: Teknikutrymmens, schakts, kanalers och installationers placering i byggnaden. Förluster ska beräknas utifrån schaktens och kanalers längd och isolerdata, schablondata får inte användas. Varmvattencirkulationens (VVC) förluster ska beräknas utifrån VVC-längd och ledningens isolerdata, schablondata får inte användas. Påverkan från spiskåpors utformning och systeminkoppling, fönstervädring, stilleståndsförluster i undercentral och reglerförluster i värmesystemet ska beräknas. Köldbryggor, exempelvis vid fönster, ska beräknas.</a:t>
          </a:r>
          <a:r>
            <a:rPr lang="sv-SE" sz="1000" baseline="0">
              <a:solidFill>
                <a:sysClr val="windowText" lastClr="000000"/>
              </a:solidFill>
              <a:latin typeface="Franklin Gothic Book" panose="020B0503020102020204" pitchFamily="34" charset="0"/>
              <a:ea typeface="+mn-ea"/>
              <a:cs typeface="+mn-cs"/>
            </a:rPr>
            <a:t> </a:t>
          </a:r>
          <a:r>
            <a:rPr lang="sv-SE" sz="1000">
              <a:solidFill>
                <a:sysClr val="windowText" lastClr="000000"/>
              </a:solidFill>
              <a:latin typeface="Franklin Gothic Book" panose="020B0503020102020204" pitchFamily="34" charset="0"/>
              <a:ea typeface="+mn-ea"/>
              <a:cs typeface="+mn-cs"/>
            </a:rPr>
            <a:t>Hushållsel och verksamhetsenergi ingår inte i kravet men de påverkar energianvändning för uppvärmning och komfortkyla. Hushållsel och verksamhetsenergi ska därför inkluderas i energibalansberäkningen. Beräkningen ska beakta fuktbelastningens påverkan på energibalansen – även avseende fukt från användning av tvätt- och torkmaskiner i lägenheter.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I övrigt ska indata väljas enligt BEN2 (Boverkets föreskrifter om ändring av verkets föreskrifter och allmänna råd (2016:12) om fastställande av byggnadens energianvändning vid normalt brukande och ett normalår).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Alla väsentliga indata med källor ska finnas redovisade i energiberäkningen. Värmebehov för tappvarmvattenanvändning ska ingå med schablon enligt BEN2.</a:t>
          </a:r>
        </a:p>
        <a:p>
          <a:r>
            <a:rPr lang="sv-SE" sz="1000">
              <a:solidFill>
                <a:sysClr val="windowText" lastClr="000000"/>
              </a:solidFill>
              <a:latin typeface="Franklin Gothic Book" panose="020B0503020102020204" pitchFamily="34" charset="0"/>
              <a:ea typeface="+mn-ea"/>
              <a:cs typeface="+mn-cs"/>
            </a:rPr>
            <a:t>Där inga andra krav eller beräkningsmetoder är specificerade i upphandlingsdokumenten gäller BBR och BEN2.</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Primärenergitalet (PET) ska beräknas enligt gällande BBR. Observera att det dock är </a:t>
          </a:r>
          <a:r>
            <a:rPr lang="sv-SE" sz="1000" b="1">
              <a:solidFill>
                <a:sysClr val="windowText" lastClr="000000"/>
              </a:solidFill>
              <a:latin typeface="Franklin Gothic Book" panose="020B0503020102020204" pitchFamily="34" charset="0"/>
              <a:ea typeface="+mn-ea"/>
              <a:cs typeface="+mn-cs"/>
            </a:rPr>
            <a:t>UHM1A </a:t>
          </a:r>
          <a:r>
            <a:rPr lang="sv-SE" sz="1000">
              <a:solidFill>
                <a:sysClr val="windowText" lastClr="000000"/>
              </a:solidFill>
              <a:latin typeface="Franklin Gothic Book" panose="020B0503020102020204" pitchFamily="34" charset="0"/>
              <a:ea typeface="+mn-ea"/>
              <a:cs typeface="+mn-cs"/>
            </a:rPr>
            <a:t>och </a:t>
          </a:r>
          <a:r>
            <a:rPr lang="sv-SE" sz="1000" b="1">
              <a:solidFill>
                <a:sysClr val="windowText" lastClr="000000"/>
              </a:solidFill>
              <a:latin typeface="Franklin Gothic Book" panose="020B0503020102020204" pitchFamily="34" charset="0"/>
              <a:ea typeface="+mn-ea"/>
              <a:cs typeface="+mn-cs"/>
            </a:rPr>
            <a:t>UHM1B</a:t>
          </a:r>
          <a:r>
            <a:rPr lang="sv-SE" sz="1000">
              <a:solidFill>
                <a:sysClr val="windowText" lastClr="000000"/>
              </a:solidFill>
              <a:latin typeface="Franklin Gothic Book" panose="020B0503020102020204" pitchFamily="34" charset="0"/>
              <a:ea typeface="+mn-ea"/>
              <a:cs typeface="+mn-cs"/>
            </a:rPr>
            <a:t> som utgör beställarens krav.</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Beräkningarna ska utgå från en mellan projekteringsdisciplinerna fullt samordnad projekteringshandling. Om det sker förändringar av systemspecifikationen i samband med entreprenörens upphandling av berörda system så ska den upphandlade lösningen vara utgångspunkt för kontrollberäkningen. Det åligger entreprenören att informera beställaren om sådana eventuella förändringar.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Uppdaterad energiberäkning för byggnadens nettovärmeenergi och byggnadens energianvändning ska lämnas till beställaren tillsammans med gällande handlingar. Resultat av energiberäkningar ska sammanfattas och redovisas i beställarens redovisningsmall – Energihjälpen. En uppdaterad energiberäkning och uppdaterad och ifylld redovisningsmall ska redovisas för beställaren innan byggstart kan godkännas samt innan slutbesked kan ges.</a:t>
          </a:r>
        </a:p>
        <a:p>
          <a:endParaRPr lang="sv-SE" sz="1000">
            <a:solidFill>
              <a:sysClr val="windowText" lastClr="000000"/>
            </a:solidFill>
            <a:latin typeface="Franklin Gothic Book" panose="020B0503020102020204" pitchFamily="34"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61913</xdr:colOff>
      <xdr:row>0</xdr:row>
      <xdr:rowOff>40481</xdr:rowOff>
    </xdr:from>
    <xdr:to>
      <xdr:col>1</xdr:col>
      <xdr:colOff>1574029</xdr:colOff>
      <xdr:row>0</xdr:row>
      <xdr:rowOff>638175</xdr:rowOff>
    </xdr:to>
    <xdr:pic>
      <xdr:nvPicPr>
        <xdr:cNvPr id="7" name="Bildobjekt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61913" y="40481"/>
          <a:ext cx="1607366" cy="597694"/>
        </a:xfrm>
        <a:prstGeom prst="rect">
          <a:avLst/>
        </a:prstGeom>
      </xdr:spPr>
    </xdr:pic>
    <xdr:clientData/>
  </xdr:twoCellAnchor>
  <xdr:twoCellAnchor>
    <xdr:from>
      <xdr:col>7</xdr:col>
      <xdr:colOff>133616</xdr:colOff>
      <xdr:row>1</xdr:row>
      <xdr:rowOff>115885</xdr:rowOff>
    </xdr:from>
    <xdr:to>
      <xdr:col>10</xdr:col>
      <xdr:colOff>473605</xdr:colOff>
      <xdr:row>8</xdr:row>
      <xdr:rowOff>10584</xdr:rowOff>
    </xdr:to>
    <xdr:sp macro="" textlink="">
      <xdr:nvSpPr>
        <xdr:cNvPr id="8" name="textruta 7">
          <a:extLst>
            <a:ext uri="{FF2B5EF4-FFF2-40B4-BE49-F238E27FC236}">
              <a16:creationId xmlns:a16="http://schemas.microsoft.com/office/drawing/2014/main" id="{00000000-0008-0000-0600-000008000000}"/>
            </a:ext>
          </a:extLst>
        </xdr:cNvPr>
        <xdr:cNvSpPr txBox="1"/>
      </xdr:nvSpPr>
      <xdr:spPr>
        <a:xfrm>
          <a:off x="8547366" y="793218"/>
          <a:ext cx="2181489" cy="17044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värmeförlusttal</a:t>
          </a:r>
        </a:p>
        <a:p>
          <a:r>
            <a:rPr lang="sv-SE" sz="1000">
              <a:solidFill>
                <a:schemeClr val="dk1"/>
              </a:solidFill>
              <a:latin typeface="Franklin Gothic Book" panose="020B0503020102020204" pitchFamily="34" charset="0"/>
              <a:ea typeface="+mn-ea"/>
              <a:cs typeface="+mn-cs"/>
            </a:rPr>
            <a:t>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Franklin Gothic Book" panose="020B0503020102020204" pitchFamily="34" charset="0"/>
              <a:ea typeface="+mn-ea"/>
              <a:cs typeface="+mn-cs"/>
            </a:rPr>
            <a:t>Alla vita</a:t>
          </a:r>
          <a:r>
            <a:rPr lang="sv-SE" sz="1000" baseline="0">
              <a:solidFill>
                <a:schemeClr val="dk1"/>
              </a:solidFill>
              <a:effectLst/>
              <a:latin typeface="Franklin Gothic Book" panose="020B0503020102020204" pitchFamily="34" charset="0"/>
              <a:ea typeface="+mn-ea"/>
              <a:cs typeface="+mn-cs"/>
            </a:rPr>
            <a:t> rutor i kolumnerna C, D och E behöver fyllas i för en korrekt beräkning av VFT (förutom rad 11 och 12 om till- och frånluftsflödena är i balans)</a:t>
          </a:r>
          <a:r>
            <a:rPr lang="sv-SE" sz="1000">
              <a:solidFill>
                <a:schemeClr val="dk1"/>
              </a:solidFill>
              <a:effectLst/>
              <a:latin typeface="Franklin Gothic Book" panose="020B0503020102020204" pitchFamily="34" charset="0"/>
              <a:ea typeface="+mn-ea"/>
              <a:cs typeface="+mn-cs"/>
            </a:rPr>
            <a:t>. </a:t>
          </a:r>
          <a:endParaRPr lang="sv-SE" sz="1000">
            <a:effectLst/>
            <a:latin typeface="Franklin Gothic Book" panose="020B0503020102020204" pitchFamily="34" charset="0"/>
          </a:endParaRPr>
        </a:p>
        <a:p>
          <a:r>
            <a:rPr lang="sv-SE" sz="1000">
              <a:solidFill>
                <a:schemeClr val="dk1"/>
              </a:solidFill>
              <a:latin typeface="Franklin Gothic Book" panose="020B0503020102020204" pitchFamily="34" charset="0"/>
              <a:ea typeface="+mn-ea"/>
              <a:cs typeface="+mn-cs"/>
            </a:rPr>
            <a:t>Um mm. fylls i under fliken B2. Indata beräkning.</a:t>
          </a:r>
        </a:p>
      </xdr:txBody>
    </xdr:sp>
    <xdr:clientData/>
  </xdr:twoCellAnchor>
  <xdr:twoCellAnchor editAs="oneCell">
    <xdr:from>
      <xdr:col>8</xdr:col>
      <xdr:colOff>526785</xdr:colOff>
      <xdr:row>0</xdr:row>
      <xdr:rowOff>93133</xdr:rowOff>
    </xdr:from>
    <xdr:to>
      <xdr:col>10</xdr:col>
      <xdr:colOff>386027</xdr:colOff>
      <xdr:row>0</xdr:row>
      <xdr:rowOff>627592</xdr:rowOff>
    </xdr:to>
    <xdr:pic>
      <xdr:nvPicPr>
        <xdr:cNvPr id="9" name="Bildobjekt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stretch>
          <a:fillRect/>
        </a:stretch>
      </xdr:blipFill>
      <xdr:spPr>
        <a:xfrm>
          <a:off x="9492191" y="93133"/>
          <a:ext cx="1371336" cy="534459"/>
        </a:xfrm>
        <a:prstGeom prst="rect">
          <a:avLst/>
        </a:prstGeom>
      </xdr:spPr>
    </xdr:pic>
    <xdr:clientData/>
  </xdr:twoCellAnchor>
  <xdr:twoCellAnchor editAs="oneCell">
    <xdr:from>
      <xdr:col>0</xdr:col>
      <xdr:colOff>80698</xdr:colOff>
      <xdr:row>22</xdr:row>
      <xdr:rowOff>64824</xdr:rowOff>
    </xdr:from>
    <xdr:to>
      <xdr:col>4</xdr:col>
      <xdr:colOff>746124</xdr:colOff>
      <xdr:row>41</xdr:row>
      <xdr:rowOff>93268</xdr:rowOff>
    </xdr:to>
    <xdr:pic>
      <xdr:nvPicPr>
        <xdr:cNvPr id="10" name="Bildobjekt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3"/>
        <a:stretch>
          <a:fillRect/>
        </a:stretch>
      </xdr:blipFill>
      <xdr:spPr>
        <a:xfrm>
          <a:off x="80698" y="5613137"/>
          <a:ext cx="4773082" cy="3647944"/>
        </a:xfrm>
        <a:prstGeom prst="rect">
          <a:avLst/>
        </a:prstGeom>
      </xdr:spPr>
    </xdr:pic>
    <xdr:clientData/>
  </xdr:twoCellAnchor>
  <xdr:twoCellAnchor editAs="oneCell">
    <xdr:from>
      <xdr:col>0</xdr:col>
      <xdr:colOff>82019</xdr:colOff>
      <xdr:row>41</xdr:row>
      <xdr:rowOff>181238</xdr:rowOff>
    </xdr:from>
    <xdr:to>
      <xdr:col>4</xdr:col>
      <xdr:colOff>800363</xdr:colOff>
      <xdr:row>49</xdr:row>
      <xdr:rowOff>19752</xdr:rowOff>
    </xdr:to>
    <xdr:pic>
      <xdr:nvPicPr>
        <xdr:cNvPr id="12" name="Bildobjekt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stretch>
          <a:fillRect/>
        </a:stretch>
      </xdr:blipFill>
      <xdr:spPr>
        <a:xfrm>
          <a:off x="82019" y="9349051"/>
          <a:ext cx="4826000" cy="1362514"/>
        </a:xfrm>
        <a:prstGeom prst="rect">
          <a:avLst/>
        </a:prstGeom>
      </xdr:spPr>
    </xdr:pic>
    <xdr:clientData/>
  </xdr:twoCellAnchor>
  <xdr:twoCellAnchor editAs="oneCell">
    <xdr:from>
      <xdr:col>4</xdr:col>
      <xdr:colOff>844021</xdr:colOff>
      <xdr:row>22</xdr:row>
      <xdr:rowOff>76729</xdr:rowOff>
    </xdr:from>
    <xdr:to>
      <xdr:col>9</xdr:col>
      <xdr:colOff>212989</xdr:colOff>
      <xdr:row>30</xdr:row>
      <xdr:rowOff>72698</xdr:rowOff>
    </xdr:to>
    <xdr:pic>
      <xdr:nvPicPr>
        <xdr:cNvPr id="14" name="Bildobjekt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stretch>
          <a:fillRect/>
        </a:stretch>
      </xdr:blipFill>
      <xdr:spPr>
        <a:xfrm>
          <a:off x="4951677" y="5625042"/>
          <a:ext cx="4857750" cy="1519969"/>
        </a:xfrm>
        <a:prstGeom prst="rect">
          <a:avLst/>
        </a:prstGeom>
      </xdr:spPr>
    </xdr:pic>
    <xdr:clientData/>
  </xdr:twoCellAnchor>
  <xdr:twoCellAnchor editAs="oneCell">
    <xdr:from>
      <xdr:col>4</xdr:col>
      <xdr:colOff>834760</xdr:colOff>
      <xdr:row>30</xdr:row>
      <xdr:rowOff>129644</xdr:rowOff>
    </xdr:from>
    <xdr:to>
      <xdr:col>9</xdr:col>
      <xdr:colOff>226218</xdr:colOff>
      <xdr:row>35</xdr:row>
      <xdr:rowOff>155644</xdr:rowOff>
    </xdr:to>
    <xdr:pic>
      <xdr:nvPicPr>
        <xdr:cNvPr id="16" name="Bildobjekt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6"/>
        <a:stretch>
          <a:fillRect/>
        </a:stretch>
      </xdr:blipFill>
      <xdr:spPr>
        <a:xfrm>
          <a:off x="4942416" y="7261488"/>
          <a:ext cx="4880240" cy="978500"/>
        </a:xfrm>
        <a:prstGeom prst="rect">
          <a:avLst/>
        </a:prstGeom>
      </xdr:spPr>
    </xdr:pic>
    <xdr:clientData/>
  </xdr:twoCellAnchor>
  <xdr:twoCellAnchor>
    <xdr:from>
      <xdr:col>11</xdr:col>
      <xdr:colOff>583406</xdr:colOff>
      <xdr:row>0</xdr:row>
      <xdr:rowOff>268154</xdr:rowOff>
    </xdr:from>
    <xdr:to>
      <xdr:col>17</xdr:col>
      <xdr:colOff>261938</xdr:colOff>
      <xdr:row>9</xdr:row>
      <xdr:rowOff>332448</xdr:rowOff>
    </xdr:to>
    <xdr:graphicFrame macro="">
      <xdr:nvGraphicFramePr>
        <xdr:cNvPr id="17" name="Diagram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49</xdr:row>
      <xdr:rowOff>108857</xdr:rowOff>
    </xdr:from>
    <xdr:ext cx="4803321" cy="1551214"/>
    <xdr:sp macro="" textlink="">
      <xdr:nvSpPr>
        <xdr:cNvPr id="18" name="textruta 17">
          <a:extLst>
            <a:ext uri="{FF2B5EF4-FFF2-40B4-BE49-F238E27FC236}">
              <a16:creationId xmlns:a16="http://schemas.microsoft.com/office/drawing/2014/main" id="{00000000-0008-0000-0600-000012000000}"/>
            </a:ext>
          </a:extLst>
        </xdr:cNvPr>
        <xdr:cNvSpPr txBox="1"/>
      </xdr:nvSpPr>
      <xdr:spPr>
        <a:xfrm>
          <a:off x="95250" y="10858500"/>
          <a:ext cx="4803321" cy="155121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1">
              <a:solidFill>
                <a:schemeClr val="dk1"/>
              </a:solidFill>
              <a:effectLst/>
              <a:latin typeface="Franklin Gothic Book" panose="020B0503020102020204" pitchFamily="34" charset="0"/>
              <a:ea typeface="+mn-ea"/>
              <a:cs typeface="+mn-cs"/>
            </a:rPr>
            <a:t>VFT:</a:t>
          </a:r>
          <a:r>
            <a:rPr lang="sv-SE" sz="1000" b="1" baseline="0">
              <a:solidFill>
                <a:schemeClr val="dk1"/>
              </a:solidFill>
              <a:effectLst/>
              <a:latin typeface="Franklin Gothic Book" panose="020B0503020102020204" pitchFamily="34" charset="0"/>
              <a:ea typeface="+mn-ea"/>
              <a:cs typeface="+mn-cs"/>
            </a:rPr>
            <a:t> </a:t>
          </a:r>
          <a:r>
            <a:rPr lang="sv-SE" sz="1000" baseline="0">
              <a:solidFill>
                <a:schemeClr val="dk1"/>
              </a:solidFill>
              <a:effectLst/>
              <a:latin typeface="Franklin Gothic Book" panose="020B0503020102020204" pitchFamily="34" charset="0"/>
              <a:ea typeface="+mn-ea"/>
              <a:cs typeface="+mn-cs"/>
            </a:rPr>
            <a:t>Defintion och beräkningsanvisning för värmeförlusttal finns under Upphandlings-myndighetens kriterium" 1120 Byggnadens maximala värmeförlusttal - Krav vid upphandling efter att systemhandlingar är framtagna" eller kriterium " 11221 Byggnadens maximala värmeförlusttal - Krav vid upphandling inför projekteringsskedet"</a:t>
          </a:r>
          <a:endParaRPr lang="sv-SE" sz="1000">
            <a:effectLst/>
            <a:latin typeface="Franklin Gothic Book" panose="020B0503020102020204" pitchFamily="34" charset="0"/>
          </a:endParaRPr>
        </a:p>
        <a:p>
          <a:r>
            <a:rPr lang="sv-SE" sz="1000" b="0" baseline="0">
              <a:solidFill>
                <a:schemeClr val="dk1"/>
              </a:solidFill>
              <a:effectLst/>
              <a:latin typeface="Franklin Gothic Demi" panose="020B0703020102020204" pitchFamily="34" charset="0"/>
              <a:ea typeface="+mn-ea"/>
              <a:cs typeface="+mn-cs"/>
            </a:rPr>
            <a:t>Defintion och beräkningsanvisning på webb</a:t>
          </a:r>
          <a:r>
            <a:rPr lang="sv-SE" sz="1000" baseline="0">
              <a:solidFill>
                <a:schemeClr val="dk1"/>
              </a:solidFill>
              <a:effectLst/>
              <a:latin typeface="Franklin Gothic Demi" panose="020B0703020102020204" pitchFamily="34" charset="0"/>
              <a:ea typeface="+mn-ea"/>
              <a:cs typeface="+mn-cs"/>
            </a:rPr>
            <a:t>: </a:t>
          </a:r>
          <a:endParaRPr lang="sv-SE" sz="1000">
            <a:effectLst/>
            <a:latin typeface="Franklin Gothic Demi" panose="020B0703020102020204" pitchFamily="34" charset="0"/>
          </a:endParaRPr>
        </a:p>
        <a:p>
          <a:r>
            <a:rPr lang="sv-SE" sz="1000" baseline="0">
              <a:solidFill>
                <a:schemeClr val="dk1"/>
              </a:solidFill>
              <a:effectLst/>
              <a:latin typeface="Franklin Gothic Book" panose="020B0503020102020204" pitchFamily="34" charset="0"/>
              <a:ea typeface="+mn-ea"/>
              <a:cs typeface="+mn-cs"/>
            </a:rPr>
            <a:t>https://kriteriedatabas.upphandlingsmyndigheten.se/system/data/files/10/7349/Bilaga%20ber%C3%A4kningsanvisningar%20f%C3%B6r%20kravet%20p%C3%A5%20byggnadens%20v%C3%A4rmef%C3%B6rlusttal%20vid%20DVUT.pdf</a:t>
          </a:r>
          <a:endParaRPr lang="sv-SE" sz="1000">
            <a:effectLst/>
            <a:latin typeface="Franklin Gothic Book" panose="020B0503020102020204" pitchFamily="34"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6</xdr:col>
      <xdr:colOff>2035968</xdr:colOff>
      <xdr:row>0</xdr:row>
      <xdr:rowOff>48167</xdr:rowOff>
    </xdr:from>
    <xdr:to>
      <xdr:col>8</xdr:col>
      <xdr:colOff>413262</xdr:colOff>
      <xdr:row>0</xdr:row>
      <xdr:rowOff>673917</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8"/>
        <a:stretch>
          <a:fillRect/>
        </a:stretch>
      </xdr:blipFill>
      <xdr:spPr>
        <a:xfrm>
          <a:off x="7929562" y="48167"/>
          <a:ext cx="1449106" cy="625750"/>
        </a:xfrm>
        <a:prstGeom prst="rect">
          <a:avLst/>
        </a:prstGeom>
      </xdr:spPr>
    </xdr:pic>
    <xdr:clientData/>
  </xdr:twoCellAnchor>
  <xdr:twoCellAnchor>
    <xdr:from>
      <xdr:col>17</xdr:col>
      <xdr:colOff>333375</xdr:colOff>
      <xdr:row>0</xdr:row>
      <xdr:rowOff>273843</xdr:rowOff>
    </xdr:from>
    <xdr:to>
      <xdr:col>22</xdr:col>
      <xdr:colOff>988217</xdr:colOff>
      <xdr:row>9</xdr:row>
      <xdr:rowOff>338137</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112</xdr:colOff>
      <xdr:row>0</xdr:row>
      <xdr:rowOff>95250</xdr:rowOff>
    </xdr:from>
    <xdr:to>
      <xdr:col>1</xdr:col>
      <xdr:colOff>1789261</xdr:colOff>
      <xdr:row>22</xdr:row>
      <xdr:rowOff>111125</xdr:rowOff>
    </xdr:to>
    <xdr:pic>
      <xdr:nvPicPr>
        <xdr:cNvPr id="16727" name="Bild 1" descr="Sveby_logo_bramsch Stor_RGB">
          <a:extLst>
            <a:ext uri="{FF2B5EF4-FFF2-40B4-BE49-F238E27FC236}">
              <a16:creationId xmlns:a16="http://schemas.microsoft.com/office/drawing/2014/main" id="{00000000-0008-0000-07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8" y="95250"/>
          <a:ext cx="1789149"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111633</xdr:colOff>
      <xdr:row>22</xdr:row>
      <xdr:rowOff>181169</xdr:rowOff>
    </xdr:from>
    <xdr:to>
      <xdr:col>16</xdr:col>
      <xdr:colOff>261937</xdr:colOff>
      <xdr:row>36</xdr:row>
      <xdr:rowOff>38940</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12898946" y="752669"/>
          <a:ext cx="2257710" cy="331058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fliken B1,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twoCellAnchor editAs="oneCell">
    <xdr:from>
      <xdr:col>10</xdr:col>
      <xdr:colOff>714375</xdr:colOff>
      <xdr:row>0</xdr:row>
      <xdr:rowOff>59531</xdr:rowOff>
    </xdr:from>
    <xdr:to>
      <xdr:col>12</xdr:col>
      <xdr:colOff>576008</xdr:colOff>
      <xdr:row>22</xdr:row>
      <xdr:rowOff>115973</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10417969" y="59531"/>
          <a:ext cx="1457070" cy="6279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822528</xdr:colOff>
      <xdr:row>0</xdr:row>
      <xdr:rowOff>110331</xdr:rowOff>
    </xdr:from>
    <xdr:to>
      <xdr:col>3</xdr:col>
      <xdr:colOff>438918</xdr:colOff>
      <xdr:row>2</xdr:row>
      <xdr:rowOff>188118</xdr:rowOff>
    </xdr:to>
    <xdr:pic>
      <xdr:nvPicPr>
        <xdr:cNvPr id="2" name="Bild 1" descr="Sveby_logo_bramsch Stor_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22" y="107156"/>
          <a:ext cx="2050821"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50</xdr:col>
      <xdr:colOff>65514</xdr:colOff>
      <xdr:row>0</xdr:row>
      <xdr:rowOff>194926</xdr:rowOff>
    </xdr:from>
    <xdr:to>
      <xdr:col>54</xdr:col>
      <xdr:colOff>453458</xdr:colOff>
      <xdr:row>22</xdr:row>
      <xdr:rowOff>178593</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41332577" y="194926"/>
          <a:ext cx="2816819" cy="55081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Se också instruktioner i de röda trianglarna för resp. cell.</a:t>
          </a:r>
        </a:p>
        <a:p>
          <a:pPr>
            <a:lnSpc>
              <a:spcPct val="100000"/>
            </a:lnSpc>
          </a:pPr>
          <a:r>
            <a:rPr lang="sv-SE" sz="1100">
              <a:solidFill>
                <a:sysClr val="windowText" lastClr="000000"/>
              </a:solidFill>
              <a:latin typeface="Franklin Gothic Book" pitchFamily="34" charset="0"/>
            </a:rPr>
            <a:t>Fyll i </a:t>
          </a:r>
          <a:r>
            <a:rPr lang="sv-SE" sz="1100" baseline="0">
              <a:solidFill>
                <a:sysClr val="windowText" lastClr="000000"/>
              </a:solidFill>
              <a:latin typeface="Franklin Gothic Book" pitchFamily="34" charset="0"/>
            </a:rPr>
            <a:t>månadsvis eller årsvis.  Uppföljning kan göras månadsvis och jämföras med beräknade värden.</a:t>
          </a:r>
        </a:p>
        <a:p>
          <a:pPr>
            <a:lnSpc>
              <a:spcPct val="100000"/>
            </a:lnSpc>
          </a:pPr>
          <a:endParaRPr lang="sv-SE" sz="1100" b="0" baseline="0">
            <a:solidFill>
              <a:sysClr val="windowText" lastClr="000000"/>
            </a:solidFill>
            <a:latin typeface="Franklin Gothic Book" pitchFamily="34" charset="0"/>
            <a:ea typeface="+mn-ea"/>
            <a:cs typeface="+mn-cs"/>
          </a:endParaRPr>
        </a:p>
        <a:p>
          <a:pPr>
            <a:lnSpc>
              <a:spcPct val="100000"/>
            </a:lnSpc>
          </a:pPr>
          <a:r>
            <a:rPr lang="sv-SE" sz="1100" b="0" baseline="0">
              <a:solidFill>
                <a:sysClr val="windowText" lastClr="000000"/>
              </a:solidFill>
              <a:latin typeface="Franklin Gothic Book" pitchFamily="34" charset="0"/>
              <a:ea typeface="+mn-ea"/>
              <a:cs typeface="+mn-cs"/>
            </a:rPr>
            <a:t>Årssummor kan skrivas in direkt i avsedd rad för resp. år. När helårsvärden fylls i förs dessa värden vidare till summaraderna och sammanställningen.</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månadsvis schablonkorrigering av värmen </a:t>
          </a:r>
          <a:r>
            <a:rPr lang="sv-SE" sz="1100" baseline="0">
              <a:solidFill>
                <a:schemeClr val="dk1"/>
              </a:solidFill>
              <a:effectLst/>
              <a:latin typeface="+mn-lt"/>
              <a:ea typeface="+mn-ea"/>
              <a:cs typeface="+mn-cs"/>
            </a:rPr>
            <a:t>görs </a:t>
          </a:r>
          <a:r>
            <a:rPr lang="sv-SE" sz="1100" baseline="0">
              <a:solidFill>
                <a:sysClr val="windowText" lastClr="000000"/>
              </a:solidFill>
              <a:latin typeface="Franklin Gothic Book" pitchFamily="34" charset="0"/>
            </a:rPr>
            <a:t>enligt BEN för avvikelser i brukandet  i kolumnerna AB och AC, förutsatt att innetemperatur och verksamhets-/hushållsenergi matats in i tabellen ovanför.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i textrutan ovanför tabellen och på rad 10 kortifo om mätpunkter. Mätpunkter redovisas också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F6. Om normalårskorrigerade värden matats in ange 1 i rutorna i kolumn AD. Detta kan även göras för kyla i kolumn AS.</a:t>
          </a:r>
        </a:p>
        <a:p>
          <a:pPr>
            <a:lnSpc>
              <a:spcPct val="100000"/>
            </a:lnSpc>
          </a:pPr>
          <a:endParaRPr lang="sv-SE" sz="1100" baseline="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25</xdr:col>
      <xdr:colOff>0</xdr:colOff>
      <xdr:row>64</xdr:row>
      <xdr:rowOff>0</xdr:rowOff>
    </xdr:from>
    <xdr:to>
      <xdr:col>29</xdr:col>
      <xdr:colOff>243205</xdr:colOff>
      <xdr:row>66</xdr:row>
      <xdr:rowOff>92017</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20347781" y="14132719"/>
          <a:ext cx="3800000" cy="466667"/>
        </a:xfrm>
        <a:prstGeom prst="rect">
          <a:avLst/>
        </a:prstGeom>
      </xdr:spPr>
    </xdr:pic>
    <xdr:clientData/>
  </xdr:twoCellAnchor>
  <xdr:twoCellAnchor editAs="absolute">
    <xdr:from>
      <xdr:col>38</xdr:col>
      <xdr:colOff>377031</xdr:colOff>
      <xdr:row>56</xdr:row>
      <xdr:rowOff>71438</xdr:rowOff>
    </xdr:from>
    <xdr:to>
      <xdr:col>46</xdr:col>
      <xdr:colOff>310468</xdr:colOff>
      <xdr:row>78</xdr:row>
      <xdr:rowOff>168389</xdr:rowOff>
    </xdr:to>
    <xdr:sp macro="" textlink="">
      <xdr:nvSpPr>
        <xdr:cNvPr id="11" name="textruta 10">
          <a:extLst>
            <a:ext uri="{FF2B5EF4-FFF2-40B4-BE49-F238E27FC236}">
              <a16:creationId xmlns:a16="http://schemas.microsoft.com/office/drawing/2014/main" id="{00000000-0008-0000-0800-00000B000000}"/>
            </a:ext>
          </a:extLst>
        </xdr:cNvPr>
        <xdr:cNvSpPr txBox="1"/>
      </xdr:nvSpPr>
      <xdr:spPr>
        <a:xfrm>
          <a:off x="31658719" y="12465844"/>
          <a:ext cx="6585856" cy="428795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Här</a:t>
          </a:r>
          <a:r>
            <a:rPr lang="sv-SE" sz="1100" baseline="0">
              <a:solidFill>
                <a:sysClr val="windowText" lastClr="000000"/>
              </a:solidFill>
              <a:latin typeface="Franklin Gothic Book" pitchFamily="34" charset="0"/>
            </a:rPr>
            <a:t> matas mätvärden för tappvarmvatten in, för att möjliggöra att värme till uppvärmning och tappvarmvatten särskiljs. </a:t>
          </a: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a:t>
          </a:r>
          <a:r>
            <a:rPr lang="sv-SE" sz="1100">
              <a:solidFill>
                <a:sysClr val="windowText" lastClr="000000"/>
              </a:solidFill>
              <a:latin typeface="Franklin Gothic Book" pitchFamily="34" charset="0"/>
            </a:rPr>
            <a:t>Fyll i köpt värme för tappvarmvatten</a:t>
          </a:r>
          <a:r>
            <a:rPr lang="sv-SE" sz="1100" baseline="0">
              <a:solidFill>
                <a:sysClr val="windowText" lastClr="000000"/>
              </a:solidFill>
              <a:latin typeface="Franklin Gothic Book" pitchFamily="34" charset="0"/>
            </a:rPr>
            <a:t> månadsvis eller årsvis. </a:t>
          </a:r>
          <a:r>
            <a:rPr lang="sv-SE" sz="1100" baseline="0">
              <a:solidFill>
                <a:schemeClr val="dk1"/>
              </a:solidFill>
              <a:effectLst/>
              <a:latin typeface="Franklin Gothic Book" panose="020B0503020102020204" pitchFamily="34" charset="0"/>
              <a:ea typeface="+mn-ea"/>
              <a:cs typeface="+mn-cs"/>
            </a:rPr>
            <a:t>Elvärmt tappvarmvatten länkas hit från "Inmatning och ver. el". </a:t>
          </a:r>
          <a:endParaRPr lang="sv-SE" sz="1100" baseline="0">
            <a:solidFill>
              <a:sysClr val="windowText" lastClr="000000"/>
            </a:solidFill>
            <a:latin typeface="Franklin Gothic Book"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Antal rader i tabellen kan minskas med hjälp av pilen i rutan Månad nr (B10). (Klicka i </a:t>
          </a:r>
          <a:r>
            <a:rPr lang="sv-SE" sz="1100" baseline="0">
              <a:solidFill>
                <a:sysClr val="windowText" lastClr="000000"/>
              </a:solidFill>
              <a:latin typeface="Franklin Gothic Book" pitchFamily="34" charset="0"/>
              <a:ea typeface="+mn-ea"/>
              <a:cs typeface="+mn-cs"/>
            </a:rPr>
            <a:t>Markera allt, samt  årssummor).</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Årssummor kan skrivas in direkt på raden "Helår".  Månadssummor summeras automatiskt.</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Ska synkas med värmemätningarna.</a:t>
          </a: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r>
            <a:rPr lang="sv-SE" sz="1100" baseline="0">
              <a:solidFill>
                <a:schemeClr val="dk1"/>
              </a:solidFill>
              <a:effectLst/>
              <a:latin typeface="Franklin Gothic Book" panose="020B0503020102020204" pitchFamily="34" charset="0"/>
              <a:ea typeface="+mn-ea"/>
              <a:cs typeface="+mn-cs"/>
            </a:rPr>
            <a:t>Ange om värdena är uppmätta direkt (M) eller fördelade (F). Mätpunkter redovisas under flik mätplan.</a:t>
          </a:r>
          <a:endParaRPr lang="sv-SE">
            <a:effectLst/>
            <a:latin typeface="Franklin Gothic Book" panose="020B0503020102020204" pitchFamily="34" charset="0"/>
          </a:endParaRPr>
        </a:p>
        <a:p>
          <a:r>
            <a:rPr lang="sv-SE" sz="1100" baseline="0">
              <a:solidFill>
                <a:schemeClr val="dk1"/>
              </a:solidFill>
              <a:effectLst/>
              <a:latin typeface="Franklin Gothic Book" panose="020B0503020102020204" pitchFamily="34" charset="0"/>
              <a:ea typeface="+mn-ea"/>
              <a:cs typeface="+mn-cs"/>
            </a:rPr>
            <a:t>Skriv in ev. solvärmeenergi till tappvarmvatten, samt även ev. bidrag från avloppsvärmeväxlare. Underlag för mätning ska bifogas.</a:t>
          </a:r>
          <a:endParaRPr lang="sv-SE">
            <a:latin typeface="Franklin Gothic Book" panose="020B0503020102020204"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Normaliserad och korrigerad TVV beräknas automatiskt baserat på indata givna här samt i fliken "Basdata &amp; resultat" och länkas vidare till "Sammanställning år".</a:t>
          </a:r>
        </a:p>
        <a:p>
          <a:endParaRPr lang="sv-SE" sz="1100" baseline="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35</xdr:col>
      <xdr:colOff>130970</xdr:colOff>
      <xdr:row>0</xdr:row>
      <xdr:rowOff>154783</xdr:rowOff>
    </xdr:from>
    <xdr:to>
      <xdr:col>38</xdr:col>
      <xdr:colOff>804472</xdr:colOff>
      <xdr:row>7</xdr:row>
      <xdr:rowOff>47626</xdr:rowOff>
    </xdr:to>
    <xdr:pic>
      <xdr:nvPicPr>
        <xdr:cNvPr id="16" name="Bildobjek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
        <a:stretch>
          <a:fillRect/>
        </a:stretch>
      </xdr:blipFill>
      <xdr:spPr>
        <a:xfrm>
          <a:off x="28872658" y="154783"/>
          <a:ext cx="3316690" cy="1512093"/>
        </a:xfrm>
        <a:prstGeom prst="rect">
          <a:avLst/>
        </a:prstGeom>
      </xdr:spPr>
    </xdr:pic>
    <xdr:clientData/>
  </xdr:twoCellAnchor>
  <xdr:twoCellAnchor>
    <xdr:from>
      <xdr:col>24</xdr:col>
      <xdr:colOff>142875</xdr:colOff>
      <xdr:row>0</xdr:row>
      <xdr:rowOff>23815</xdr:rowOff>
    </xdr:from>
    <xdr:to>
      <xdr:col>28</xdr:col>
      <xdr:colOff>607219</xdr:colOff>
      <xdr:row>7</xdr:row>
      <xdr:rowOff>154783</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214312</xdr:colOff>
      <xdr:row>0</xdr:row>
      <xdr:rowOff>47625</xdr:rowOff>
    </xdr:from>
    <xdr:to>
      <xdr:col>46</xdr:col>
      <xdr:colOff>250032</xdr:colOff>
      <xdr:row>7</xdr:row>
      <xdr:rowOff>178593</xdr:rowOff>
    </xdr:to>
    <xdr:graphicFrame macro="">
      <xdr:nvGraphicFramePr>
        <xdr:cNvPr id="9" name="Diagram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9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143895</xdr:colOff>
      <xdr:row>6</xdr:row>
      <xdr:rowOff>1588</xdr:rowOff>
    </xdr:from>
    <xdr:to>
      <xdr:col>11</xdr:col>
      <xdr:colOff>2772932</xdr:colOff>
      <xdr:row>35</xdr:row>
      <xdr:rowOff>181654</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11990614" y="1239838"/>
          <a:ext cx="2629037" cy="55943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 för användning vid normalisering med upprepad energiberäkning enligt BEN. För uppföljning av mätresultat med schablonkorrigering enligt BEN används flik C2.</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relationenergiberäkningen i flik B1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113393</xdr:colOff>
      <xdr:row>6</xdr:row>
      <xdr:rowOff>0</xdr:rowOff>
    </xdr:from>
    <xdr:to>
      <xdr:col>16</xdr:col>
      <xdr:colOff>364218</xdr:colOff>
      <xdr:row>19</xdr:row>
      <xdr:rowOff>88900</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14052550" y="1295400"/>
          <a:ext cx="2778125" cy="32004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endParaRPr lang="sv-SE" sz="1100" b="0" i="0">
            <a:solidFill>
              <a:schemeClr val="dk1"/>
            </a:solidFill>
            <a:latin typeface="Franklin Gothic Book" pitchFamily="34" charset="0"/>
            <a:ea typeface="+mn-ea"/>
            <a:cs typeface="+mn-cs"/>
          </a:endParaRP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A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584A00-0933-4D7F-B5F3-828AE486244E}" name="Table2" displayName="Table2" ref="B6:I17" totalsRowShown="0" tableBorderDxfId="12">
  <autoFilter ref="B6:I17" xr:uid="{C7584A00-0933-4D7F-B5F3-828AE486244E}"/>
  <tableColumns count="8">
    <tableColumn id="1" xr3:uid="{149BD556-FAB9-476A-8BFA-B543578E24E2}" name="Column1" dataDxfId="11" dataCellStyle="Locked"/>
    <tableColumn id="2" xr3:uid="{E469C19C-BB2A-4F15-9AA3-9110C52CFD6A}" name="U-värde, före" dataDxfId="10" dataCellStyle="Unlocked"/>
    <tableColumn id="3" xr3:uid="{EBB6BC61-1D0F-49F4-9EE1-0C30C67E8393}" name="Area, före" dataDxfId="9" dataCellStyle="Unlocked"/>
    <tableColumn id="4" xr3:uid="{360A7104-C7B8-4EC2-ABA4-95F1BD755881}" name="Column4" dataDxfId="8" dataCellStyle="Locked">
      <calculatedColumnFormula>Table2[[#This Row],[U-värde, före]]*Table2[[#This Row],[Area, före]]</calculatedColumnFormula>
    </tableColumn>
    <tableColumn id="5" xr3:uid="{667A623A-5BBA-40B3-A6C5-D1B3A44D10DB}" name="U-värde, efter" dataDxfId="7" dataCellStyle="Unlocked"/>
    <tableColumn id="6" xr3:uid="{FAB5009E-EF13-4628-B0E6-6BF913DC4EA2}" name="Area, efter" dataDxfId="6" dataCellStyle="Unlocked"/>
    <tableColumn id="7" xr3:uid="{1A577E15-8319-4767-8264-9955055F91F3}" name="Column7" dataDxfId="5" dataCellStyle="Locked">
      <calculatedColumnFormula>Table2[[#This Row],[U-värde, efter]]*Table2[[#This Row],[Area, efter]]</calculatedColumnFormula>
    </tableColumn>
    <tableColumn id="8" xr3:uid="{33FA1529-38BF-45DB-B0EA-C11370780938}" name="Column8" dataDxfId="4" dataCellStyle="Unlocked"/>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61D8D0-BC7A-471A-B340-4A86099F1990}" name="Tabell1" displayName="Tabell1" ref="A2:B292" totalsRowShown="0" headerRowDxfId="3" dataDxfId="2" headerRowCellStyle="Normal 2" dataCellStyle="Normal 2">
  <autoFilter ref="A2:B292" xr:uid="{67EC8FE7-66F4-4653-A574-F3CBBC6779BC}"/>
  <tableColumns count="2">
    <tableColumn id="1" xr3:uid="{92C8F420-5197-4D86-82A9-E43EA3CD57BC}" name="KOMMUNNAMN" dataDxfId="1" dataCellStyle="Normal 2"/>
    <tableColumn id="2" xr3:uid="{A8A00249-345A-43F5-8239-4A062EC274DE}" name="Fgeo" dataDxfId="0" dataCellStyle="Normal 2"/>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E2:E6" totalsRowShown="0">
  <autoFilter ref="E2:E6"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G2:G7" totalsRowShown="0">
  <autoFilter ref="G2:G7"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1C6E-55A2-463E-92B7-D6B716D59E13}">
  <sheetPr codeName="Blad1"/>
  <dimension ref="A1:T66"/>
  <sheetViews>
    <sheetView tabSelected="1" zoomScale="90" zoomScaleNormal="90" workbookViewId="0">
      <selection activeCell="H24" sqref="H24"/>
    </sheetView>
  </sheetViews>
  <sheetFormatPr defaultColWidth="8.7109375" defaultRowHeight="15" x14ac:dyDescent="0.25"/>
  <cols>
    <col min="1" max="1" width="1.7109375" style="21" customWidth="1"/>
    <col min="2" max="2" width="41.5703125" style="21" customWidth="1"/>
    <col min="3" max="3" width="13.7109375" style="21" customWidth="1"/>
    <col min="4" max="8" width="14" style="21" customWidth="1"/>
    <col min="9" max="9" width="51" style="21" customWidth="1"/>
    <col min="10" max="10" width="33.42578125" style="21" customWidth="1"/>
    <col min="11" max="27" width="8.7109375" style="21"/>
    <col min="28" max="33" width="9.140625" style="21" customWidth="1"/>
    <col min="34" max="16384" width="8.7109375" style="21"/>
  </cols>
  <sheetData>
    <row r="1" spans="1:20" ht="63.75" customHeight="1" x14ac:dyDescent="0.35">
      <c r="A1" s="18"/>
      <c r="B1" s="19" t="s">
        <v>0</v>
      </c>
      <c r="C1" s="1106" t="s">
        <v>1</v>
      </c>
      <c r="D1" s="1107"/>
      <c r="E1" s="1107"/>
      <c r="F1" s="1107"/>
      <c r="G1" s="1107"/>
      <c r="H1" s="1107"/>
      <c r="I1" s="18"/>
      <c r="J1" s="18"/>
      <c r="K1" s="20"/>
      <c r="M1" s="18"/>
      <c r="N1" s="32"/>
      <c r="O1" s="32"/>
      <c r="P1" s="32"/>
      <c r="Q1" s="32"/>
      <c r="R1" s="32"/>
      <c r="S1" s="32"/>
    </row>
    <row r="2" spans="1:20" ht="46.5" customHeight="1" x14ac:dyDescent="0.3">
      <c r="A2" s="18"/>
      <c r="B2" s="1118" t="s">
        <v>2</v>
      </c>
      <c r="C2" s="1119"/>
      <c r="D2" s="1119"/>
      <c r="E2" s="1119"/>
      <c r="F2" s="1119"/>
      <c r="G2" s="1119"/>
      <c r="H2" s="1119"/>
      <c r="I2" s="1119"/>
      <c r="J2" s="18"/>
      <c r="K2" s="22"/>
      <c r="M2" s="18"/>
      <c r="N2" s="32"/>
      <c r="O2" s="32"/>
      <c r="P2" s="32"/>
      <c r="Q2" s="32"/>
      <c r="R2" s="32"/>
      <c r="S2" s="32"/>
    </row>
    <row r="3" spans="1:20" ht="10.5" customHeight="1" thickBot="1" x14ac:dyDescent="0.4">
      <c r="A3" s="18"/>
      <c r="B3" s="19"/>
      <c r="C3" s="18"/>
      <c r="D3" s="18"/>
      <c r="E3" s="18"/>
      <c r="F3" s="18"/>
      <c r="G3" s="18"/>
      <c r="H3" s="18"/>
      <c r="I3" s="18"/>
      <c r="J3" s="32"/>
      <c r="K3" s="23"/>
      <c r="L3" s="23"/>
      <c r="M3" s="32"/>
      <c r="N3" s="32"/>
      <c r="O3" s="32"/>
      <c r="P3" s="32"/>
      <c r="Q3" s="32"/>
      <c r="R3" s="32"/>
      <c r="S3" s="32"/>
    </row>
    <row r="4" spans="1:20" ht="24.75" customHeight="1" thickBot="1" x14ac:dyDescent="0.3">
      <c r="A4" s="18"/>
      <c r="B4" s="1120" t="s">
        <v>3</v>
      </c>
      <c r="C4" s="1121"/>
      <c r="D4" s="1121"/>
      <c r="E4" s="1121"/>
      <c r="F4" s="1121"/>
      <c r="G4" s="1121"/>
      <c r="H4" s="1122"/>
      <c r="I4" s="24" t="s">
        <v>4</v>
      </c>
      <c r="J4" s="32"/>
      <c r="K4" s="23"/>
      <c r="L4" s="23"/>
      <c r="M4" s="32"/>
      <c r="N4" s="32"/>
      <c r="O4" s="32"/>
      <c r="P4" s="32"/>
      <c r="Q4" s="32"/>
      <c r="R4" s="32"/>
      <c r="S4" s="32"/>
    </row>
    <row r="5" spans="1:20" ht="16.5" customHeight="1" thickBot="1" x14ac:dyDescent="0.3">
      <c r="A5" s="18"/>
      <c r="B5" s="25" t="s">
        <v>5</v>
      </c>
      <c r="C5" s="1100">
        <f>'A. Byggnadsinfo med BBR'!C9</f>
        <v>0</v>
      </c>
      <c r="D5" s="1101"/>
      <c r="E5" s="26"/>
      <c r="F5" s="26"/>
      <c r="G5" s="26"/>
      <c r="H5" s="27"/>
      <c r="I5" s="5"/>
      <c r="J5" s="32"/>
      <c r="K5" s="23"/>
      <c r="L5" s="23"/>
      <c r="M5" s="32"/>
      <c r="N5" s="32"/>
      <c r="O5" s="32"/>
      <c r="P5" s="32"/>
      <c r="Q5" s="32"/>
      <c r="R5" s="32"/>
      <c r="S5" s="32"/>
    </row>
    <row r="6" spans="1:20" ht="16.5" customHeight="1" thickBot="1" x14ac:dyDescent="0.3">
      <c r="A6" s="18"/>
      <c r="B6" s="25" t="s">
        <v>6</v>
      </c>
      <c r="C6" s="1100">
        <f>'A. Byggnadsinfo med BBR'!C13</f>
        <v>0</v>
      </c>
      <c r="D6" s="1101"/>
      <c r="E6" s="26"/>
      <c r="F6" s="26"/>
      <c r="G6" s="26"/>
      <c r="H6" s="27"/>
      <c r="I6" s="5"/>
      <c r="J6" s="32"/>
      <c r="K6" s="32"/>
      <c r="L6" s="32"/>
      <c r="M6" s="32"/>
      <c r="N6" s="32"/>
      <c r="O6" s="32"/>
      <c r="P6" s="32"/>
      <c r="Q6" s="32"/>
      <c r="R6" s="32"/>
      <c r="S6" s="32"/>
    </row>
    <row r="7" spans="1:20" ht="16.5" customHeight="1" thickBot="1" x14ac:dyDescent="0.3">
      <c r="A7" s="18"/>
      <c r="B7" s="28" t="s">
        <v>7</v>
      </c>
      <c r="C7" s="1100">
        <f xml:space="preserve">  Kommun</f>
        <v>0</v>
      </c>
      <c r="D7" s="1101"/>
      <c r="E7" s="26"/>
      <c r="F7" s="26"/>
      <c r="G7" s="26"/>
      <c r="H7" s="27"/>
      <c r="I7" s="5"/>
      <c r="J7" s="32"/>
      <c r="K7" s="32"/>
      <c r="L7" s="32"/>
      <c r="M7" s="32"/>
      <c r="N7" s="32"/>
      <c r="O7" s="32"/>
      <c r="P7" s="32"/>
      <c r="Q7" s="32"/>
      <c r="R7" s="32"/>
      <c r="S7" s="32"/>
    </row>
    <row r="8" spans="1:20" ht="16.5" customHeight="1" thickBot="1" x14ac:dyDescent="0.3">
      <c r="A8" s="18"/>
      <c r="B8" s="29" t="s">
        <v>8</v>
      </c>
      <c r="C8" s="1100">
        <f>'A. Byggnadsinfo med BBR'!D50</f>
        <v>29</v>
      </c>
      <c r="D8" s="1123"/>
      <c r="E8" s="30"/>
      <c r="F8" s="26"/>
      <c r="G8" s="26"/>
      <c r="H8" s="31"/>
      <c r="I8" s="5"/>
      <c r="J8" s="32"/>
      <c r="K8" s="32"/>
      <c r="L8" s="32"/>
      <c r="M8" s="32"/>
      <c r="N8" s="32"/>
      <c r="O8" s="32"/>
      <c r="P8" s="32"/>
      <c r="Q8" s="32"/>
      <c r="R8" s="32"/>
      <c r="S8" s="32"/>
      <c r="T8" s="32"/>
    </row>
    <row r="9" spans="1:20" ht="16.5" customHeight="1" x14ac:dyDescent="0.35">
      <c r="A9" s="18"/>
      <c r="C9" s="1124" t="s">
        <v>9</v>
      </c>
      <c r="D9" s="1125"/>
      <c r="E9" s="1128" t="s">
        <v>10</v>
      </c>
      <c r="F9" s="1129"/>
      <c r="G9" s="1129"/>
      <c r="H9" s="1130"/>
      <c r="I9" s="5"/>
      <c r="J9" s="32"/>
      <c r="K9" s="32"/>
      <c r="L9" s="32"/>
      <c r="M9" s="32"/>
      <c r="N9" s="32"/>
      <c r="O9" s="32"/>
      <c r="P9" s="32"/>
      <c r="Q9" s="32"/>
      <c r="R9" s="32"/>
      <c r="S9" s="32"/>
      <c r="T9" s="32"/>
    </row>
    <row r="10" spans="1:20" ht="39.75" customHeight="1" thickBot="1" x14ac:dyDescent="0.3">
      <c r="A10" s="18"/>
      <c r="B10" s="33"/>
      <c r="C10" s="1002" t="s">
        <v>11</v>
      </c>
      <c r="D10" s="263" t="s">
        <v>12</v>
      </c>
      <c r="E10" s="262" t="s">
        <v>12</v>
      </c>
      <c r="F10" s="1000" t="s">
        <v>13</v>
      </c>
      <c r="G10" s="1000" t="s">
        <v>14</v>
      </c>
      <c r="H10" s="999" t="s">
        <v>15</v>
      </c>
      <c r="I10" s="5"/>
      <c r="J10" s="32"/>
      <c r="K10" s="32"/>
      <c r="L10" s="32"/>
      <c r="M10" s="32"/>
      <c r="N10" s="32"/>
      <c r="O10" s="32"/>
      <c r="P10" s="32"/>
      <c r="Q10" s="32"/>
      <c r="R10" s="32"/>
      <c r="S10" s="32"/>
      <c r="T10" s="32"/>
    </row>
    <row r="11" spans="1:20" ht="16.5" customHeight="1" thickBot="1" x14ac:dyDescent="0.3">
      <c r="A11" s="18"/>
      <c r="B11" s="1001" t="s">
        <v>16</v>
      </c>
      <c r="C11" s="980">
        <f>IFERROR(IF(C8=29,PETberäkning!M10,PETberäkning!M17),0)</f>
        <v>0</v>
      </c>
      <c r="D11" s="997">
        <f>IF(C8=29,PETberäkning!K10,PETberäkning!K17)</f>
        <v>0</v>
      </c>
      <c r="E11" s="1005">
        <f>IF(C8=29,PETberäkning!L10,PETberäkning!L17)</f>
        <v>0</v>
      </c>
      <c r="F11" s="990">
        <f>IFERROR(IF(C8=29,PETberäkning!N10,PETberäkning!N17),0)</f>
        <v>0</v>
      </c>
      <c r="G11" s="990">
        <f>IF(D11=0,0,(E11-D11)/D11*100)</f>
        <v>0</v>
      </c>
      <c r="H11" s="34">
        <f>IF(C11=0,0,(F11-C11)/C11*100)</f>
        <v>0</v>
      </c>
      <c r="I11" s="1094"/>
      <c r="J11" s="32"/>
      <c r="K11" s="32"/>
      <c r="L11" s="32"/>
      <c r="M11" s="32"/>
      <c r="N11" s="32"/>
      <c r="O11" s="32"/>
      <c r="P11" s="32"/>
      <c r="Q11" s="32"/>
      <c r="R11" s="32"/>
      <c r="S11" s="32"/>
      <c r="T11" s="32"/>
    </row>
    <row r="12" spans="1:20" ht="16.5" customHeight="1" thickBot="1" x14ac:dyDescent="0.3">
      <c r="A12" s="18"/>
      <c r="B12" s="1001" t="s">
        <v>17</v>
      </c>
      <c r="C12" s="35">
        <f>IFERROR(IF(C11/'A. Byggnadsinfo med BBR'!D59&lt;=0.5,"A", IF(C11/'A. Byggnadsinfo med BBR'!D59&lt;=0.75,"B", IF(C11/'A. Byggnadsinfo med BBR'!D59&lt;=1,"C",IF(C11/'A. Byggnadsinfo med BBR'!D59&lt;=1.35,"D",IF(C11/'A. Byggnadsinfo med BBR'!D59&lt;=1.8,"E",IF(C11/'A. Byggnadsinfo med BBR'!D59&lt;=2.35,"F","G")))))),0)</f>
        <v>0</v>
      </c>
      <c r="D12" s="998">
        <f>IFERROR(IF(D11/'A. Byggnadsinfo med BBR'!D59&lt;=0.5,"A", IF(D11/'A. Byggnadsinfo med BBR'!D59&lt;=0.75,"B", IF(D11/'A. Byggnadsinfo med BBR'!D59&lt;=1,"C",IF(D11/'A. Byggnadsinfo med BBR'!D59&lt;=1.35,"D",IF(D11/'A. Byggnadsinfo med BBR'!D59&lt;=1.8,"E",IF(D11/'A. Byggnadsinfo med BBR'!D59&lt;=2.35,"F","G")))))),0)</f>
        <v>0</v>
      </c>
      <c r="E12" s="994">
        <f>IFERROR(IF(E11/'A. Byggnadsinfo med BBR'!E59&lt;=0.5,"A", IF(E11/'A. Byggnadsinfo med BBR'!E59&lt;=0.75,"B", IF(E11/'A. Byggnadsinfo med BBR'!E59&lt;=1,"C",IF(E11/'A. Byggnadsinfo med BBR'!E59&lt;=1.35,"D",IF(E11/'A. Byggnadsinfo med BBR'!E59&lt;=1.8,"E",IF(E11/'A. Byggnadsinfo med BBR'!E59&lt;=2.35,"F","G")))))),0)</f>
        <v>0</v>
      </c>
      <c r="F12" s="987">
        <f>IFERROR(IF(F11/'A. Byggnadsinfo med BBR'!E59&lt;=0.5,"A", IF(F11/'A. Byggnadsinfo med BBR'!E59&lt;=0.75,"B", IF(F11/'A. Byggnadsinfo med BBR'!E59&lt;=1,"C",IF(F11/'A. Byggnadsinfo med BBR'!E59&lt;=1.35,"D",IF(F11/'A. Byggnadsinfo med BBR'!E59&lt;=1.8,"E",IF(F11/'A. Byggnadsinfo med BBR'!E59&lt;=2.35,"F","G")))))),0)</f>
        <v>0</v>
      </c>
      <c r="G12" s="988"/>
      <c r="H12" s="983"/>
      <c r="I12" s="1094"/>
      <c r="J12" s="32"/>
      <c r="K12" s="32"/>
      <c r="L12" s="32"/>
      <c r="M12" s="32"/>
      <c r="N12" s="32"/>
      <c r="O12" s="32"/>
      <c r="P12" s="32"/>
      <c r="Q12" s="32"/>
      <c r="R12" s="32"/>
      <c r="S12" s="32"/>
      <c r="T12" s="32"/>
    </row>
    <row r="13" spans="1:20" ht="16.5" customHeight="1" thickBot="1" x14ac:dyDescent="0.3">
      <c r="A13" s="18"/>
      <c r="B13" s="1001" t="s">
        <v>18</v>
      </c>
      <c r="C13" s="1003"/>
      <c r="D13" s="982">
        <f>'B2. Indata beräkning'!C30</f>
        <v>0</v>
      </c>
      <c r="E13" s="995">
        <f>'B2. Indata beräkning'!F30</f>
        <v>0</v>
      </c>
      <c r="F13" s="989" t="s">
        <v>19</v>
      </c>
      <c r="G13" s="989" t="s">
        <v>19</v>
      </c>
      <c r="H13" s="991" t="s">
        <v>19</v>
      </c>
      <c r="I13" s="1094"/>
      <c r="J13" s="32"/>
      <c r="K13" s="32"/>
      <c r="L13" s="32"/>
      <c r="M13" s="32"/>
      <c r="N13" s="32"/>
      <c r="O13" s="32"/>
      <c r="P13" s="32"/>
      <c r="Q13" s="32"/>
      <c r="R13" s="32"/>
      <c r="S13" s="32"/>
      <c r="T13" s="32"/>
    </row>
    <row r="14" spans="1:20" ht="16.5" customHeight="1" thickBot="1" x14ac:dyDescent="0.3">
      <c r="A14" s="18"/>
      <c r="B14" s="1001" t="s">
        <v>20</v>
      </c>
      <c r="C14" s="952">
        <f>PETberäkning!M24</f>
        <v>0</v>
      </c>
      <c r="D14" s="1004">
        <f>PETberäkning!K24</f>
        <v>0</v>
      </c>
      <c r="E14" s="996">
        <f>PETberäkning!L24</f>
        <v>0</v>
      </c>
      <c r="F14" s="992">
        <f>PETberäkning!N24</f>
        <v>0</v>
      </c>
      <c r="G14" s="992">
        <f>IF(D14=0,0,(E14-D14)/D14*100)</f>
        <v>0</v>
      </c>
      <c r="H14" s="981">
        <f>IF(C14=0,0,(F14-C14)/C14*100)</f>
        <v>0</v>
      </c>
      <c r="I14" s="1095"/>
      <c r="J14" s="32"/>
      <c r="K14" s="32"/>
      <c r="L14" s="32"/>
      <c r="M14" s="32"/>
      <c r="N14" s="32"/>
      <c r="O14" s="32"/>
      <c r="P14" s="32"/>
      <c r="Q14" s="32"/>
      <c r="R14" s="32"/>
      <c r="S14" s="32"/>
      <c r="T14" s="32"/>
    </row>
    <row r="15" spans="1:20" ht="15.75" thickBot="1" x14ac:dyDescent="0.3">
      <c r="A15" s="18"/>
      <c r="B15" s="18"/>
      <c r="C15" s="18"/>
      <c r="D15" s="18"/>
      <c r="E15" s="18"/>
      <c r="F15" s="18"/>
      <c r="G15" s="18"/>
      <c r="H15" s="18"/>
      <c r="I15" s="18"/>
      <c r="J15" s="36"/>
      <c r="K15" s="32"/>
      <c r="L15" s="32"/>
      <c r="M15" s="32"/>
      <c r="N15" s="32"/>
      <c r="O15" s="32"/>
      <c r="P15" s="32"/>
      <c r="Q15" s="32"/>
      <c r="R15" s="32"/>
      <c r="S15" s="32"/>
    </row>
    <row r="16" spans="1:20" ht="20.25" thickBot="1" x14ac:dyDescent="0.3">
      <c r="A16" s="18"/>
      <c r="B16" s="37" t="s">
        <v>21</v>
      </c>
      <c r="C16" s="18"/>
      <c r="D16" s="18"/>
      <c r="E16" s="18"/>
      <c r="F16" s="18"/>
      <c r="G16" s="18"/>
      <c r="H16" s="18"/>
      <c r="I16" s="24" t="s">
        <v>4</v>
      </c>
      <c r="J16" s="36"/>
      <c r="K16" s="32"/>
      <c r="L16" s="32"/>
      <c r="M16" s="32"/>
      <c r="N16" s="32"/>
      <c r="O16" s="32"/>
      <c r="P16" s="32"/>
      <c r="Q16" s="32"/>
      <c r="R16" s="32"/>
      <c r="S16" s="32"/>
    </row>
    <row r="17" spans="1:20" ht="19.5" customHeight="1" x14ac:dyDescent="0.25">
      <c r="A17" s="18"/>
      <c r="B17" s="38"/>
      <c r="C17" s="39" t="s">
        <v>22</v>
      </c>
      <c r="D17" s="1103" t="s">
        <v>23</v>
      </c>
      <c r="E17" s="1104"/>
      <c r="F17" s="1104"/>
      <c r="G17" s="1105"/>
      <c r="H17" s="993"/>
      <c r="I17" s="1131"/>
      <c r="J17" s="36"/>
      <c r="L17" s="32"/>
      <c r="M17" s="32"/>
      <c r="N17" s="32"/>
      <c r="O17" s="32"/>
      <c r="P17" s="32"/>
      <c r="Q17" s="32"/>
      <c r="R17" s="32"/>
      <c r="S17" s="32"/>
      <c r="T17" s="32"/>
    </row>
    <row r="18" spans="1:20" ht="16.5" customHeight="1" x14ac:dyDescent="0.25">
      <c r="A18" s="18"/>
      <c r="B18" s="40"/>
      <c r="C18" s="1126"/>
      <c r="D18" s="1134" t="s">
        <v>24</v>
      </c>
      <c r="E18" s="1096" t="s">
        <v>25</v>
      </c>
      <c r="F18" s="1096" t="s">
        <v>26</v>
      </c>
      <c r="G18" s="1098" t="s">
        <v>13</v>
      </c>
      <c r="I18" s="1132"/>
      <c r="J18" s="36"/>
      <c r="K18" s="32"/>
      <c r="L18" s="32"/>
      <c r="M18" s="32"/>
      <c r="N18" s="32"/>
      <c r="O18" s="32"/>
      <c r="P18" s="32"/>
      <c r="Q18" s="32"/>
      <c r="R18" s="32"/>
      <c r="S18" s="32"/>
      <c r="T18" s="32"/>
    </row>
    <row r="19" spans="1:20" ht="34.5" customHeight="1" thickBot="1" x14ac:dyDescent="0.3">
      <c r="A19" s="18"/>
      <c r="B19" s="41"/>
      <c r="C19" s="1127"/>
      <c r="D19" s="1135"/>
      <c r="E19" s="1102"/>
      <c r="F19" s="1097"/>
      <c r="G19" s="1099"/>
      <c r="I19" s="1132"/>
      <c r="J19" s="36"/>
      <c r="K19" s="32"/>
      <c r="M19" s="32"/>
      <c r="N19" s="32"/>
      <c r="O19" s="32"/>
      <c r="P19" s="32"/>
      <c r="Q19" s="32"/>
      <c r="R19" s="32"/>
      <c r="S19" s="32"/>
      <c r="T19" s="32"/>
    </row>
    <row r="20" spans="1:20" ht="16.5" customHeight="1" thickBot="1" x14ac:dyDescent="0.3">
      <c r="A20" s="18"/>
      <c r="B20" s="29" t="s">
        <v>27</v>
      </c>
      <c r="C20" s="917"/>
      <c r="D20" s="1091">
        <f>UHM!D15</f>
        <v>0</v>
      </c>
      <c r="E20" s="1092">
        <f>UHM!E15</f>
        <v>0</v>
      </c>
      <c r="F20" s="1092">
        <f>UHM!F15</f>
        <v>0</v>
      </c>
      <c r="G20" s="1093">
        <f>UHM!G15</f>
        <v>0</v>
      </c>
      <c r="I20" s="1132"/>
      <c r="J20" s="32"/>
      <c r="K20" s="32"/>
      <c r="L20" s="32"/>
      <c r="M20" s="32"/>
      <c r="N20" s="32"/>
      <c r="O20" s="32"/>
      <c r="P20" s="32"/>
      <c r="Q20" s="32"/>
      <c r="R20" s="32"/>
      <c r="S20" s="32"/>
      <c r="T20" s="32"/>
    </row>
    <row r="21" spans="1:20" ht="16.5" thickBot="1" x14ac:dyDescent="0.3">
      <c r="B21" s="29" t="s">
        <v>28</v>
      </c>
      <c r="C21" s="918"/>
      <c r="D21" s="920">
        <f>UHM!D29</f>
        <v>0</v>
      </c>
      <c r="E21" s="133">
        <f>UHM!E29</f>
        <v>0</v>
      </c>
      <c r="F21" s="133">
        <f>UHM!F29</f>
        <v>0</v>
      </c>
      <c r="G21" s="921">
        <f>UHM!G29</f>
        <v>0</v>
      </c>
      <c r="I21" s="1132"/>
      <c r="K21" s="32"/>
      <c r="L21" s="32"/>
      <c r="M21" s="32"/>
      <c r="N21" s="32"/>
      <c r="O21" s="32"/>
      <c r="P21" s="32"/>
      <c r="Q21" s="32"/>
      <c r="R21" s="32"/>
      <c r="S21" s="32"/>
    </row>
    <row r="22" spans="1:20" ht="16.5" thickBot="1" x14ac:dyDescent="0.3">
      <c r="B22" s="29" t="s">
        <v>29</v>
      </c>
      <c r="C22" s="919"/>
      <c r="D22" s="922">
        <f>VFT!C18</f>
        <v>0</v>
      </c>
      <c r="E22" s="923">
        <f>VFT!D18</f>
        <v>0</v>
      </c>
      <c r="F22" s="923">
        <f>VFT!E18</f>
        <v>0</v>
      </c>
      <c r="G22" s="42">
        <f>VFT!J13</f>
        <v>0</v>
      </c>
      <c r="I22" s="1133"/>
      <c r="K22" s="32"/>
      <c r="L22" s="32"/>
      <c r="M22" s="32"/>
      <c r="N22" s="32"/>
      <c r="O22" s="32"/>
      <c r="P22" s="32"/>
      <c r="Q22" s="32"/>
      <c r="R22" s="32"/>
      <c r="S22" s="32"/>
    </row>
    <row r="23" spans="1:20" ht="15.75" thickBot="1" x14ac:dyDescent="0.3">
      <c r="B23" s="43"/>
      <c r="I23" s="18"/>
      <c r="J23" s="32"/>
      <c r="K23" s="32"/>
      <c r="L23" s="32"/>
      <c r="M23" s="32"/>
      <c r="N23" s="32"/>
      <c r="O23" s="32"/>
      <c r="P23" s="32"/>
      <c r="Q23" s="32"/>
      <c r="R23" s="32"/>
      <c r="S23" s="32"/>
    </row>
    <row r="24" spans="1:20" ht="20.25" thickBot="1" x14ac:dyDescent="0.4">
      <c r="B24" s="44" t="s">
        <v>30</v>
      </c>
      <c r="F24" s="45"/>
      <c r="G24" s="45"/>
      <c r="H24" s="46"/>
      <c r="I24" s="24" t="s">
        <v>4</v>
      </c>
      <c r="J24" s="32"/>
      <c r="K24" s="32"/>
      <c r="L24" s="32"/>
      <c r="M24" s="32"/>
      <c r="N24" s="32"/>
      <c r="O24" s="32"/>
      <c r="P24" s="32"/>
      <c r="Q24" s="32"/>
      <c r="R24" s="32"/>
      <c r="S24" s="32"/>
    </row>
    <row r="25" spans="1:20" ht="16.5" x14ac:dyDescent="0.3">
      <c r="B25" s="47" t="s">
        <v>31</v>
      </c>
      <c r="C25" s="48">
        <v>1</v>
      </c>
      <c r="D25" s="49">
        <v>2</v>
      </c>
      <c r="E25" s="50">
        <v>3</v>
      </c>
      <c r="I25" s="1112"/>
      <c r="J25" s="32"/>
      <c r="K25" s="32"/>
      <c r="L25" s="32"/>
      <c r="M25" s="32"/>
      <c r="N25" s="32"/>
      <c r="O25" s="32"/>
      <c r="P25" s="32"/>
      <c r="Q25" s="32"/>
      <c r="R25" s="32"/>
      <c r="S25" s="32"/>
    </row>
    <row r="26" spans="1:20" ht="3" customHeight="1" x14ac:dyDescent="0.25">
      <c r="B26" s="51"/>
      <c r="C26" s="52"/>
      <c r="E26" s="53"/>
      <c r="I26" s="1113"/>
      <c r="J26" s="32"/>
      <c r="K26" s="32"/>
      <c r="L26" s="32"/>
      <c r="M26" s="32"/>
      <c r="N26" s="32"/>
      <c r="O26" s="32"/>
      <c r="P26" s="32"/>
      <c r="Q26" s="32"/>
      <c r="R26" s="32"/>
      <c r="S26" s="32"/>
    </row>
    <row r="27" spans="1:20" ht="16.5" customHeight="1" x14ac:dyDescent="0.25">
      <c r="B27" s="47" t="s">
        <v>32</v>
      </c>
      <c r="C27" s="8"/>
      <c r="D27" s="9"/>
      <c r="E27" s="10"/>
      <c r="F27" s="54" t="s">
        <v>33</v>
      </c>
      <c r="G27" s="54"/>
      <c r="I27" s="1113"/>
      <c r="J27" s="32"/>
      <c r="K27" s="32"/>
      <c r="L27" s="32"/>
      <c r="M27" s="32"/>
      <c r="N27" s="32"/>
      <c r="O27" s="32"/>
      <c r="P27" s="32"/>
      <c r="Q27" s="32"/>
      <c r="R27" s="32"/>
      <c r="S27" s="32"/>
    </row>
    <row r="28" spans="1:20" ht="3" customHeight="1" x14ac:dyDescent="0.25">
      <c r="B28" s="47"/>
      <c r="C28" s="55"/>
      <c r="D28" s="56"/>
      <c r="E28" s="57"/>
      <c r="F28" s="58"/>
      <c r="G28" s="58"/>
      <c r="I28" s="1113"/>
      <c r="J28" s="32"/>
      <c r="K28" s="32"/>
      <c r="L28" s="32"/>
      <c r="M28" s="32"/>
      <c r="N28" s="32"/>
      <c r="O28" s="32"/>
      <c r="P28" s="32"/>
      <c r="Q28" s="32"/>
      <c r="R28" s="32"/>
      <c r="S28" s="32"/>
    </row>
    <row r="29" spans="1:20" ht="16.5" customHeight="1" x14ac:dyDescent="0.25">
      <c r="B29" s="47" t="s">
        <v>34</v>
      </c>
      <c r="C29" s="11"/>
      <c r="D29" s="12"/>
      <c r="E29" s="13"/>
      <c r="F29" s="54" t="s">
        <v>35</v>
      </c>
      <c r="G29" s="54"/>
      <c r="I29" s="1113"/>
      <c r="J29" s="32"/>
      <c r="K29" s="32"/>
      <c r="L29" s="32"/>
      <c r="M29" s="32"/>
      <c r="N29" s="32"/>
      <c r="O29" s="32"/>
      <c r="P29" s="32"/>
      <c r="Q29" s="32"/>
      <c r="R29" s="32"/>
      <c r="S29" s="32"/>
    </row>
    <row r="30" spans="1:20" ht="3" customHeight="1" x14ac:dyDescent="0.25">
      <c r="B30" s="59"/>
      <c r="C30" s="60"/>
      <c r="D30" s="61"/>
      <c r="E30" s="62"/>
      <c r="F30" s="61"/>
      <c r="G30" s="61"/>
      <c r="I30" s="1113"/>
      <c r="J30" s="32"/>
      <c r="K30" s="32"/>
      <c r="L30" s="32"/>
      <c r="M30" s="32"/>
      <c r="N30" s="32"/>
      <c r="O30" s="32"/>
      <c r="P30" s="32"/>
      <c r="Q30" s="32"/>
      <c r="R30" s="32"/>
      <c r="S30" s="32"/>
    </row>
    <row r="31" spans="1:20" ht="16.5" customHeight="1" x14ac:dyDescent="0.25">
      <c r="B31" s="47" t="s">
        <v>36</v>
      </c>
      <c r="C31" s="63">
        <f>IFERROR(IF('C1. Resultat mätning'!J39&gt;0,'C1. Resultat mätning'!J39,'C1. Resultat mätning'!I39),0)</f>
        <v>0</v>
      </c>
      <c r="D31" s="64">
        <f>IFERROR(IF('C1. Resultat mätning'!J56&gt;0,'C1. Resultat mätning'!J56,'C1. Resultat mätning'!I56),0)</f>
        <v>0</v>
      </c>
      <c r="E31" s="65">
        <f>IFERROR(IF('C1. Resultat mätning'!J73&gt;0,'C1. Resultat mätning'!J73,'C1. Resultat mätning'!I73),0)</f>
        <v>0</v>
      </c>
      <c r="F31" s="54" t="s">
        <v>33</v>
      </c>
      <c r="G31" s="54"/>
      <c r="I31" s="1113"/>
      <c r="J31" s="32"/>
      <c r="K31" s="32"/>
      <c r="L31" s="32"/>
      <c r="M31" s="32"/>
      <c r="N31" s="32"/>
      <c r="O31" s="32"/>
      <c r="P31" s="32"/>
      <c r="Q31" s="32"/>
      <c r="R31" s="32"/>
      <c r="S31" s="32"/>
    </row>
    <row r="32" spans="1:20" ht="16.5" customHeight="1" x14ac:dyDescent="0.25">
      <c r="B32" s="66" t="s">
        <v>37</v>
      </c>
      <c r="C32" s="67">
        <f>IFERROR(IF(C8=29,PETberäkning!M10,PETberäkning!M17),0)</f>
        <v>0</v>
      </c>
      <c r="D32" s="68">
        <f>IFERROR(IF(C8=29,PETberäkning!N10,PETberäkning!N17),0)</f>
        <v>0</v>
      </c>
      <c r="E32" s="69">
        <f>IFERROR(IF(C8=29,PETberäkning!O10,PETberäkning!O17),0)</f>
        <v>0</v>
      </c>
      <c r="F32" s="54" t="s">
        <v>33</v>
      </c>
      <c r="G32" s="54"/>
      <c r="I32" s="1113"/>
      <c r="J32" s="32"/>
      <c r="K32" s="32"/>
      <c r="L32" s="32"/>
      <c r="M32" s="32"/>
      <c r="N32" s="32"/>
      <c r="O32" s="32"/>
      <c r="P32" s="32"/>
      <c r="Q32" s="32"/>
      <c r="R32" s="32"/>
      <c r="S32" s="32"/>
    </row>
    <row r="33" spans="2:19" ht="16.5" customHeight="1" x14ac:dyDescent="0.25">
      <c r="B33" s="47" t="s">
        <v>38</v>
      </c>
      <c r="C33" s="70">
        <f>C32-C27</f>
        <v>0</v>
      </c>
      <c r="D33" s="64">
        <f t="shared" ref="D33:E33" si="0">D32-D27</f>
        <v>0</v>
      </c>
      <c r="E33" s="71">
        <f t="shared" si="0"/>
        <v>0</v>
      </c>
      <c r="F33" s="54" t="s">
        <v>33</v>
      </c>
      <c r="G33" s="54"/>
      <c r="I33" s="1113"/>
      <c r="J33" s="32"/>
      <c r="K33" s="32"/>
      <c r="L33" s="32"/>
      <c r="M33" s="32"/>
      <c r="N33" s="32"/>
      <c r="O33" s="32"/>
      <c r="P33" s="32"/>
      <c r="Q33" s="32"/>
      <c r="R33" s="32"/>
      <c r="S33" s="32"/>
    </row>
    <row r="34" spans="2:19" ht="3" customHeight="1" x14ac:dyDescent="0.25">
      <c r="B34" s="47"/>
      <c r="C34" s="72"/>
      <c r="D34" s="73"/>
      <c r="E34" s="74"/>
      <c r="F34" s="54"/>
      <c r="G34" s="54"/>
      <c r="I34" s="1113"/>
      <c r="J34" s="32"/>
      <c r="K34" s="32"/>
      <c r="L34" s="32"/>
      <c r="M34" s="32"/>
      <c r="N34" s="32"/>
      <c r="O34" s="32"/>
      <c r="P34" s="32"/>
      <c r="Q34" s="32"/>
      <c r="R34" s="32"/>
      <c r="S34" s="32"/>
    </row>
    <row r="35" spans="2:19" ht="16.5" customHeight="1" thickBot="1" x14ac:dyDescent="0.3">
      <c r="B35" s="47" t="s">
        <v>39</v>
      </c>
      <c r="C35" s="75">
        <f>IF(C33&gt;0,C33*C29*'A. Byggnadsinfo med BBR'!$E$43,0)</f>
        <v>0</v>
      </c>
      <c r="D35" s="76">
        <f>IF(D33&gt;0,D33*D29*'A. Byggnadsinfo med BBR'!$E$43,0)</f>
        <v>0</v>
      </c>
      <c r="E35" s="77">
        <f>IF(E33&gt;0,E33*E29*'A. Byggnadsinfo med BBR'!$E$43,0)</f>
        <v>0</v>
      </c>
      <c r="F35" s="78" t="s">
        <v>40</v>
      </c>
      <c r="G35" s="78"/>
      <c r="H35" s="46"/>
      <c r="I35" s="1114"/>
      <c r="J35" s="32"/>
      <c r="K35" s="32"/>
      <c r="L35" s="32"/>
      <c r="M35" s="32"/>
      <c r="N35" s="32"/>
      <c r="O35" s="32"/>
      <c r="P35" s="32"/>
      <c r="Q35" s="32"/>
      <c r="R35" s="32"/>
      <c r="S35" s="32"/>
    </row>
    <row r="36" spans="2:19" ht="15.75" x14ac:dyDescent="0.25">
      <c r="H36" s="79"/>
      <c r="J36" s="32"/>
      <c r="K36" s="32"/>
      <c r="L36" s="32"/>
      <c r="M36" s="32"/>
      <c r="N36" s="32"/>
      <c r="O36" s="32"/>
      <c r="P36" s="32"/>
      <c r="Q36" s="32"/>
      <c r="R36" s="32"/>
      <c r="S36" s="32"/>
    </row>
    <row r="37" spans="2:19" ht="15.75" x14ac:dyDescent="0.3">
      <c r="B37" s="66" t="s">
        <v>41</v>
      </c>
      <c r="C37" s="1115"/>
      <c r="D37" s="1116"/>
      <c r="E37" s="1117"/>
      <c r="H37" s="66" t="s">
        <v>42</v>
      </c>
      <c r="I37" s="14"/>
      <c r="J37" s="32"/>
      <c r="K37" s="32"/>
      <c r="L37" s="32"/>
      <c r="M37" s="32"/>
      <c r="N37" s="32"/>
      <c r="O37" s="32"/>
      <c r="P37" s="32"/>
      <c r="Q37" s="32"/>
      <c r="R37" s="32"/>
      <c r="S37" s="32"/>
    </row>
    <row r="38" spans="2:19" ht="15.75" x14ac:dyDescent="0.3">
      <c r="B38" s="80" t="s">
        <v>43</v>
      </c>
      <c r="C38" s="1115"/>
      <c r="D38" s="1116"/>
      <c r="E38" s="1117"/>
      <c r="H38" s="80" t="s">
        <v>43</v>
      </c>
      <c r="I38" s="14"/>
      <c r="J38" s="32"/>
      <c r="K38" s="32"/>
      <c r="L38" s="32"/>
      <c r="M38" s="32"/>
      <c r="N38" s="32"/>
      <c r="O38" s="32"/>
      <c r="P38" s="32"/>
      <c r="Q38" s="32"/>
      <c r="R38" s="32"/>
      <c r="S38" s="32"/>
    </row>
    <row r="39" spans="2:19" ht="15.75" x14ac:dyDescent="0.3">
      <c r="B39" s="80" t="s">
        <v>44</v>
      </c>
      <c r="C39" s="1115"/>
      <c r="D39" s="1116"/>
      <c r="E39" s="1117"/>
      <c r="H39" s="80" t="s">
        <v>44</v>
      </c>
      <c r="I39" s="14"/>
      <c r="J39" s="32"/>
      <c r="K39" s="32"/>
      <c r="L39" s="32"/>
      <c r="M39" s="32"/>
      <c r="N39" s="32"/>
      <c r="O39" s="32"/>
      <c r="P39" s="32"/>
      <c r="Q39" s="32"/>
      <c r="R39" s="32"/>
      <c r="S39" s="32"/>
    </row>
    <row r="40" spans="2:19" ht="15.75" x14ac:dyDescent="0.3">
      <c r="B40" s="80" t="s">
        <v>45</v>
      </c>
      <c r="C40" s="1108"/>
      <c r="D40" s="1109"/>
      <c r="E40" s="1110"/>
      <c r="H40" s="80" t="s">
        <v>45</v>
      </c>
      <c r="I40" s="14"/>
      <c r="J40" s="32"/>
      <c r="K40" s="32"/>
      <c r="L40" s="32"/>
      <c r="M40" s="32"/>
      <c r="N40" s="32"/>
      <c r="O40" s="32"/>
      <c r="P40" s="32"/>
      <c r="Q40" s="32"/>
      <c r="R40" s="32"/>
      <c r="S40" s="32"/>
    </row>
    <row r="41" spans="2:19" ht="5.25" customHeight="1" x14ac:dyDescent="0.25">
      <c r="B41" s="81"/>
      <c r="H41" s="79"/>
      <c r="J41" s="32"/>
      <c r="K41" s="32"/>
      <c r="L41" s="32"/>
      <c r="M41" s="32"/>
      <c r="N41" s="32"/>
      <c r="O41" s="32"/>
      <c r="P41" s="32"/>
      <c r="Q41" s="32"/>
      <c r="R41" s="32"/>
      <c r="S41" s="32"/>
    </row>
    <row r="42" spans="2:19" ht="15.75" x14ac:dyDescent="0.3">
      <c r="C42" s="1111"/>
      <c r="D42" s="1111"/>
      <c r="E42" s="1111"/>
      <c r="H42" s="79"/>
      <c r="J42" s="32"/>
      <c r="K42" s="32"/>
      <c r="L42" s="32"/>
      <c r="M42" s="32"/>
      <c r="N42" s="32"/>
      <c r="O42" s="32"/>
      <c r="P42" s="32"/>
      <c r="Q42" s="32"/>
      <c r="R42" s="32"/>
      <c r="S42" s="32"/>
    </row>
    <row r="43" spans="2:19" ht="15.75" x14ac:dyDescent="0.3">
      <c r="B43" s="15"/>
      <c r="C43" s="16"/>
      <c r="D43" s="16"/>
      <c r="E43" s="16"/>
      <c r="F43" s="16"/>
      <c r="G43" s="16"/>
      <c r="H43" s="17"/>
      <c r="J43" s="32"/>
      <c r="K43" s="32"/>
      <c r="L43" s="32"/>
      <c r="M43" s="32"/>
      <c r="N43" s="32"/>
      <c r="O43" s="32"/>
      <c r="P43" s="32"/>
      <c r="Q43" s="32"/>
      <c r="R43" s="32"/>
      <c r="S43" s="32"/>
    </row>
    <row r="44" spans="2:19" ht="15.75" x14ac:dyDescent="0.3">
      <c r="B44" s="82" t="s">
        <v>46</v>
      </c>
      <c r="C44" s="82" t="s">
        <v>47</v>
      </c>
      <c r="E44" s="82"/>
      <c r="F44" s="82" t="s">
        <v>48</v>
      </c>
      <c r="G44" s="82"/>
      <c r="H44" s="83"/>
      <c r="J44" s="32"/>
      <c r="K44" s="32"/>
      <c r="L44" s="32"/>
      <c r="M44" s="32"/>
      <c r="N44" s="32"/>
      <c r="O44" s="32"/>
      <c r="P44" s="32"/>
      <c r="Q44" s="32"/>
      <c r="R44" s="32"/>
      <c r="S44" s="32"/>
    </row>
    <row r="45" spans="2:19" ht="15.75" x14ac:dyDescent="0.3">
      <c r="B45" s="82"/>
      <c r="C45" s="82"/>
      <c r="E45" s="82"/>
      <c r="F45" s="82"/>
      <c r="G45" s="82"/>
      <c r="H45" s="83"/>
      <c r="J45" s="32"/>
      <c r="K45" s="32"/>
      <c r="L45" s="32"/>
      <c r="M45" s="32"/>
      <c r="N45" s="32"/>
      <c r="O45" s="32"/>
      <c r="P45" s="32"/>
      <c r="Q45" s="32"/>
      <c r="R45" s="32"/>
      <c r="S45" s="32"/>
    </row>
    <row r="46" spans="2:19" ht="15.75" x14ac:dyDescent="0.3">
      <c r="C46" s="82"/>
      <c r="D46" s="82"/>
      <c r="E46" s="82"/>
      <c r="H46" s="84" t="s">
        <v>49</v>
      </c>
      <c r="I46" s="85"/>
      <c r="J46" s="32"/>
      <c r="K46" s="32"/>
      <c r="L46" s="32"/>
      <c r="R46" s="32"/>
      <c r="S46" s="32"/>
    </row>
    <row r="47" spans="2:19" ht="15.75" x14ac:dyDescent="0.3">
      <c r="C47" s="82"/>
      <c r="D47" s="82"/>
      <c r="E47" s="82"/>
      <c r="H47" s="83"/>
      <c r="I47" s="85"/>
      <c r="J47" s="32"/>
      <c r="K47" s="32"/>
      <c r="L47" s="32"/>
      <c r="R47" s="32"/>
      <c r="S47" s="32"/>
    </row>
    <row r="48" spans="2:19" ht="15.75" x14ac:dyDescent="0.3">
      <c r="C48" s="82"/>
      <c r="D48" s="82"/>
      <c r="E48" s="82"/>
      <c r="H48" s="83"/>
      <c r="I48" s="85"/>
      <c r="J48" s="32"/>
      <c r="K48" s="32"/>
      <c r="L48" s="32"/>
      <c r="R48" s="32"/>
      <c r="S48" s="32"/>
    </row>
    <row r="49" spans="2:19" ht="15.75" x14ac:dyDescent="0.3">
      <c r="C49" s="82"/>
      <c r="D49" s="82"/>
      <c r="E49" s="82"/>
      <c r="H49" s="83"/>
      <c r="I49" s="85"/>
      <c r="J49" s="32"/>
      <c r="K49" s="32"/>
      <c r="L49" s="32"/>
      <c r="R49" s="32"/>
      <c r="S49" s="32"/>
    </row>
    <row r="50" spans="2:19" ht="15.75" x14ac:dyDescent="0.3">
      <c r="C50" s="82"/>
      <c r="D50" s="82"/>
      <c r="E50" s="82"/>
      <c r="H50" s="83"/>
      <c r="I50" s="85"/>
      <c r="J50" s="32"/>
      <c r="K50" s="32"/>
      <c r="L50" s="32"/>
      <c r="R50" s="32"/>
      <c r="S50" s="32"/>
    </row>
    <row r="51" spans="2:19" ht="19.5" x14ac:dyDescent="0.35">
      <c r="B51" s="19" t="s">
        <v>50</v>
      </c>
      <c r="J51" s="32"/>
      <c r="K51" s="32"/>
      <c r="L51" s="32"/>
      <c r="R51" s="32"/>
      <c r="S51" s="32"/>
    </row>
    <row r="52" spans="2:19" ht="5.25" customHeight="1" x14ac:dyDescent="0.25">
      <c r="J52" s="32"/>
      <c r="K52" s="32"/>
      <c r="L52" s="32"/>
      <c r="R52" s="32"/>
      <c r="S52" s="32"/>
    </row>
    <row r="53" spans="2:19" x14ac:dyDescent="0.25">
      <c r="J53" s="32"/>
      <c r="K53" s="32"/>
      <c r="L53" s="32"/>
      <c r="R53" s="32"/>
      <c r="S53" s="32"/>
    </row>
    <row r="54" spans="2:19" x14ac:dyDescent="0.25">
      <c r="J54" s="32"/>
      <c r="K54" s="32"/>
      <c r="L54" s="32"/>
      <c r="R54" s="32"/>
      <c r="S54" s="32"/>
    </row>
    <row r="55" spans="2:19" x14ac:dyDescent="0.25">
      <c r="J55" s="32"/>
      <c r="K55" s="32"/>
      <c r="L55" s="32"/>
      <c r="R55" s="32"/>
      <c r="S55" s="32"/>
    </row>
    <row r="56" spans="2:19" x14ac:dyDescent="0.25">
      <c r="J56" s="32"/>
      <c r="K56" s="32"/>
      <c r="L56" s="32"/>
      <c r="R56" s="32"/>
      <c r="S56" s="32"/>
    </row>
    <row r="57" spans="2:19" x14ac:dyDescent="0.25">
      <c r="J57" s="32"/>
      <c r="K57" s="32"/>
      <c r="L57" s="32"/>
      <c r="R57" s="32"/>
      <c r="S57" s="32"/>
    </row>
    <row r="58" spans="2:19" x14ac:dyDescent="0.25">
      <c r="J58" s="32"/>
      <c r="K58" s="32"/>
      <c r="L58" s="32"/>
      <c r="R58" s="32"/>
      <c r="S58" s="32"/>
    </row>
    <row r="59" spans="2:19" x14ac:dyDescent="0.25">
      <c r="J59" s="32"/>
      <c r="K59" s="32"/>
      <c r="L59" s="32"/>
      <c r="R59" s="32"/>
      <c r="S59" s="32"/>
    </row>
    <row r="60" spans="2:19" x14ac:dyDescent="0.25">
      <c r="J60" s="32"/>
      <c r="K60" s="32"/>
      <c r="L60" s="32"/>
      <c r="R60" s="32"/>
      <c r="S60" s="32"/>
    </row>
    <row r="61" spans="2:19" x14ac:dyDescent="0.25">
      <c r="J61" s="32"/>
      <c r="K61" s="32"/>
      <c r="L61" s="32"/>
      <c r="R61" s="32"/>
      <c r="S61" s="32"/>
    </row>
    <row r="62" spans="2:19" x14ac:dyDescent="0.25">
      <c r="J62" s="32"/>
      <c r="K62" s="32"/>
      <c r="L62" s="32"/>
      <c r="R62" s="32"/>
      <c r="S62" s="32"/>
    </row>
    <row r="63" spans="2:19" x14ac:dyDescent="0.25">
      <c r="R63" s="32"/>
      <c r="S63" s="32"/>
    </row>
    <row r="64" spans="2:19" x14ac:dyDescent="0.25">
      <c r="R64" s="32"/>
      <c r="S64" s="32"/>
    </row>
    <row r="65" spans="18:19" x14ac:dyDescent="0.25">
      <c r="R65" s="32"/>
      <c r="S65" s="32"/>
    </row>
    <row r="66" spans="18:19" x14ac:dyDescent="0.25">
      <c r="R66" s="32"/>
      <c r="S66" s="32"/>
    </row>
  </sheetData>
  <sheetProtection algorithmName="SHA-512" hashValue="LowIiceD9cET11DaxhDhAC7ErZmRZd+P2lUeWIhwwY2sPUyvX1yGbBjj/RinVB7pz5eBR0U9fracCm2x+DMd9Q==" saltValue="/z52Ueal9AYgmVY/f0YTPA==" spinCount="100000" sheet="1" objects="1" scenarios="1"/>
  <mergeCells count="23">
    <mergeCell ref="C1:H1"/>
    <mergeCell ref="C40:E40"/>
    <mergeCell ref="C42:E42"/>
    <mergeCell ref="I25:I35"/>
    <mergeCell ref="C37:E37"/>
    <mergeCell ref="C38:E38"/>
    <mergeCell ref="C39:E39"/>
    <mergeCell ref="B2:I2"/>
    <mergeCell ref="B4:H4"/>
    <mergeCell ref="C8:D8"/>
    <mergeCell ref="C9:D9"/>
    <mergeCell ref="C18:C19"/>
    <mergeCell ref="E9:H9"/>
    <mergeCell ref="I17:I22"/>
    <mergeCell ref="C7:D7"/>
    <mergeCell ref="D18:D19"/>
    <mergeCell ref="I11:I14"/>
    <mergeCell ref="F18:F19"/>
    <mergeCell ref="G18:G19"/>
    <mergeCell ref="C6:D6"/>
    <mergeCell ref="C5:D5"/>
    <mergeCell ref="E18:E19"/>
    <mergeCell ref="D17:G17"/>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185E-9DD3-44BB-847B-C40263623E5A}">
  <sheetPr codeName="Blad4"/>
  <dimension ref="B2:W122"/>
  <sheetViews>
    <sheetView zoomScale="90" zoomScaleNormal="90" workbookViewId="0">
      <selection activeCell="J8" sqref="J8"/>
    </sheetView>
  </sheetViews>
  <sheetFormatPr defaultColWidth="8.7109375" defaultRowHeight="15" x14ac:dyDescent="0.25"/>
  <cols>
    <col min="1" max="1" width="2.42578125" style="21" customWidth="1"/>
    <col min="2" max="2" width="34.85546875" style="21" customWidth="1"/>
    <col min="3" max="3" width="35" style="21" customWidth="1"/>
    <col min="4" max="5" width="10.7109375" style="21" customWidth="1"/>
    <col min="6" max="6" width="11.7109375" style="21" customWidth="1"/>
    <col min="7" max="17" width="10.7109375" style="21" customWidth="1"/>
    <col min="18" max="18" width="11.85546875" style="21" customWidth="1"/>
    <col min="19" max="19" width="10.42578125" style="21" customWidth="1"/>
    <col min="20" max="20" width="8.7109375" style="21"/>
    <col min="21" max="22" width="10.42578125" style="21" customWidth="1"/>
    <col min="23" max="16384" width="8.7109375" style="21"/>
  </cols>
  <sheetData>
    <row r="2" spans="2:22" ht="15.75" customHeight="1" x14ac:dyDescent="0.25">
      <c r="C2" s="86" t="s">
        <v>51</v>
      </c>
    </row>
    <row r="3" spans="2:22" ht="15.75" customHeight="1" x14ac:dyDescent="0.25"/>
    <row r="4" spans="2:22" ht="15.75" customHeight="1" thickBot="1" x14ac:dyDescent="0.3">
      <c r="V4" s="87"/>
    </row>
    <row r="5" spans="2:22" ht="19.5" customHeight="1" thickBot="1" x14ac:dyDescent="0.3">
      <c r="B5" s="1120" t="s">
        <v>52</v>
      </c>
      <c r="C5" s="1122"/>
      <c r="D5" s="88"/>
      <c r="F5" s="1148" t="s">
        <v>53</v>
      </c>
      <c r="G5" s="1149"/>
      <c r="H5" s="1149"/>
      <c r="I5" s="1149"/>
      <c r="J5" s="1149"/>
      <c r="K5" s="1149"/>
      <c r="L5" s="1149"/>
      <c r="M5" s="1150"/>
    </row>
    <row r="6" spans="2:22" ht="15.75" thickBot="1" x14ac:dyDescent="0.3">
      <c r="B6" s="89" t="s">
        <v>54</v>
      </c>
      <c r="C6" s="186"/>
      <c r="D6" s="90"/>
      <c r="F6" s="91" t="s">
        <v>55</v>
      </c>
    </row>
    <row r="7" spans="2:22" ht="15.75" customHeight="1" thickBot="1" x14ac:dyDescent="0.3">
      <c r="B7" s="92" t="s">
        <v>56</v>
      </c>
      <c r="C7" s="187"/>
      <c r="H7" s="93"/>
      <c r="I7" s="94" t="s">
        <v>57</v>
      </c>
      <c r="J7" s="191"/>
      <c r="L7" s="94" t="s">
        <v>58</v>
      </c>
      <c r="M7" s="191"/>
      <c r="N7" s="95"/>
    </row>
    <row r="8" spans="2:22" ht="16.5" customHeight="1" thickBot="1" x14ac:dyDescent="0.3">
      <c r="B8" s="96" t="s">
        <v>59</v>
      </c>
      <c r="C8" s="187"/>
      <c r="H8" s="93"/>
      <c r="I8" s="94" t="s">
        <v>60</v>
      </c>
      <c r="J8" s="191"/>
    </row>
    <row r="9" spans="2:22" ht="15.75" customHeight="1" thickBot="1" x14ac:dyDescent="0.3">
      <c r="B9" s="96" t="s">
        <v>61</v>
      </c>
      <c r="C9" s="188"/>
      <c r="I9" s="93"/>
      <c r="J9" s="191"/>
      <c r="K9" s="97" t="s">
        <v>62</v>
      </c>
      <c r="L9" s="36"/>
    </row>
    <row r="10" spans="2:22" ht="15.75" customHeight="1" thickBot="1" x14ac:dyDescent="0.3">
      <c r="B10" s="96" t="s">
        <v>63</v>
      </c>
      <c r="C10" s="188"/>
      <c r="F10" s="91" t="s">
        <v>64</v>
      </c>
    </row>
    <row r="11" spans="2:22" ht="15.75" customHeight="1" thickBot="1" x14ac:dyDescent="0.35">
      <c r="B11" s="96" t="s">
        <v>65</v>
      </c>
      <c r="C11" s="188" t="s">
        <v>19</v>
      </c>
      <c r="I11" s="93"/>
      <c r="J11" s="93"/>
      <c r="K11" s="93"/>
      <c r="L11" s="98"/>
      <c r="M11" s="99"/>
    </row>
    <row r="12" spans="2:22" ht="15.75" customHeight="1" thickBot="1" x14ac:dyDescent="0.35">
      <c r="B12" s="96" t="s">
        <v>66</v>
      </c>
      <c r="C12" s="188" t="s">
        <v>19</v>
      </c>
      <c r="G12" s="100"/>
      <c r="I12" s="93"/>
      <c r="J12" s="93"/>
      <c r="K12" s="93"/>
      <c r="L12" s="93"/>
      <c r="M12" s="93"/>
      <c r="N12" s="99"/>
    </row>
    <row r="13" spans="2:22" ht="15.75" customHeight="1" thickBot="1" x14ac:dyDescent="0.35">
      <c r="B13" s="89" t="s">
        <v>67</v>
      </c>
      <c r="C13" s="189"/>
      <c r="D13" s="95"/>
      <c r="I13" s="101"/>
      <c r="J13" s="94"/>
      <c r="K13" s="99"/>
      <c r="L13" s="94"/>
      <c r="M13" s="99"/>
      <c r="N13" s="99"/>
    </row>
    <row r="14" spans="2:22" ht="15.75" customHeight="1" thickBot="1" x14ac:dyDescent="0.35">
      <c r="B14" s="96" t="s">
        <v>68</v>
      </c>
      <c r="C14" s="188"/>
      <c r="D14" s="95"/>
      <c r="F14" s="91" t="s">
        <v>69</v>
      </c>
      <c r="I14" s="93"/>
      <c r="J14" s="93"/>
      <c r="K14" s="93"/>
      <c r="L14" s="93"/>
      <c r="M14" s="93"/>
      <c r="N14" s="99"/>
    </row>
    <row r="15" spans="2:22" ht="15.75" customHeight="1" thickBot="1" x14ac:dyDescent="0.35">
      <c r="B15" s="96" t="s">
        <v>70</v>
      </c>
      <c r="C15" s="188"/>
      <c r="D15" s="95"/>
      <c r="H15" s="93"/>
      <c r="I15" s="94" t="s">
        <v>57</v>
      </c>
      <c r="J15" s="191"/>
      <c r="L15" s="94" t="s">
        <v>58</v>
      </c>
      <c r="M15" s="191"/>
      <c r="N15" s="99"/>
    </row>
    <row r="16" spans="2:22" ht="14.25" customHeight="1" thickBot="1" x14ac:dyDescent="0.35">
      <c r="B16" s="96" t="s">
        <v>71</v>
      </c>
      <c r="C16" s="188"/>
      <c r="F16" s="87" t="s">
        <v>19</v>
      </c>
      <c r="H16" s="93"/>
      <c r="I16" s="94" t="s">
        <v>60</v>
      </c>
      <c r="J16" s="191"/>
      <c r="N16" s="99"/>
    </row>
    <row r="17" spans="2:23" ht="15.75" customHeight="1" thickBot="1" x14ac:dyDescent="0.35">
      <c r="B17" s="96" t="s">
        <v>72</v>
      </c>
      <c r="C17" s="188"/>
      <c r="D17" s="102" t="s">
        <v>73</v>
      </c>
      <c r="M17" s="99"/>
    </row>
    <row r="18" spans="2:23" ht="15.75" customHeight="1" thickBot="1" x14ac:dyDescent="0.3">
      <c r="B18" s="96" t="s">
        <v>74</v>
      </c>
      <c r="C18" s="188" t="s">
        <v>19</v>
      </c>
      <c r="D18" s="102" t="s">
        <v>73</v>
      </c>
      <c r="I18" s="93"/>
    </row>
    <row r="19" spans="2:23" ht="15" customHeight="1" thickBot="1" x14ac:dyDescent="0.3">
      <c r="B19" s="96" t="s">
        <v>75</v>
      </c>
      <c r="C19" s="188"/>
      <c r="F19" s="91" t="s">
        <v>76</v>
      </c>
    </row>
    <row r="20" spans="2:23" ht="15.75" customHeight="1" thickBot="1" x14ac:dyDescent="0.3">
      <c r="B20" s="96" t="s">
        <v>77</v>
      </c>
      <c r="C20" s="189" t="s">
        <v>19</v>
      </c>
    </row>
    <row r="21" spans="2:23" ht="15.75" thickBot="1" x14ac:dyDescent="0.3">
      <c r="B21" s="96" t="s">
        <v>78</v>
      </c>
      <c r="C21" s="189" t="s">
        <v>19</v>
      </c>
      <c r="D21" s="87"/>
      <c r="E21" s="87" t="s">
        <v>19</v>
      </c>
    </row>
    <row r="22" spans="2:23" ht="15.75" thickBot="1" x14ac:dyDescent="0.3">
      <c r="B22" s="96" t="s">
        <v>79</v>
      </c>
      <c r="C22" s="189" t="s">
        <v>19</v>
      </c>
      <c r="D22" s="87"/>
      <c r="E22" s="87"/>
      <c r="F22" s="91" t="s">
        <v>80</v>
      </c>
      <c r="I22" s="103"/>
      <c r="J22" s="857"/>
      <c r="K22" s="97" t="s">
        <v>62</v>
      </c>
    </row>
    <row r="23" spans="2:23" ht="15.75" customHeight="1" thickBot="1" x14ac:dyDescent="0.3">
      <c r="B23" s="89" t="s">
        <v>81</v>
      </c>
      <c r="C23" s="190"/>
      <c r="D23" s="87"/>
      <c r="E23" s="87"/>
      <c r="F23" s="91" t="s">
        <v>82</v>
      </c>
      <c r="I23" s="104"/>
      <c r="J23" s="104"/>
      <c r="K23" s="104"/>
      <c r="W23" s="105"/>
    </row>
    <row r="24" spans="2:23" ht="16.5" customHeight="1" thickBot="1" x14ac:dyDescent="0.35">
      <c r="C24" s="106" t="s">
        <v>83</v>
      </c>
      <c r="D24" s="107">
        <f>'B1. Resultat beräkning'!D23</f>
        <v>0</v>
      </c>
      <c r="E24" s="107">
        <f>'B1. Resultat beräkning'!F23</f>
        <v>0</v>
      </c>
      <c r="F24" s="97"/>
      <c r="L24" s="94"/>
      <c r="N24" s="93"/>
    </row>
    <row r="25" spans="2:23" ht="15.75" customHeight="1" thickBot="1" x14ac:dyDescent="0.3">
      <c r="C25" s="106" t="s">
        <v>84</v>
      </c>
      <c r="D25" s="108" t="str">
        <f>IF(D24&gt;=10,"J","N")</f>
        <v>N</v>
      </c>
      <c r="E25" s="108" t="str">
        <f>IF(E24&gt;=10,"J","N")</f>
        <v>N</v>
      </c>
      <c r="H25" s="97"/>
      <c r="I25" s="103" t="s">
        <v>85</v>
      </c>
      <c r="J25" s="192"/>
      <c r="K25" s="93" t="s">
        <v>86</v>
      </c>
      <c r="N25" s="97"/>
    </row>
    <row r="26" spans="2:23" ht="15.75" thickBot="1" x14ac:dyDescent="0.3">
      <c r="C26" s="109"/>
      <c r="H26" s="110"/>
      <c r="I26" s="97"/>
      <c r="N26" s="36"/>
    </row>
    <row r="27" spans="2:23" ht="20.25" thickBot="1" x14ac:dyDescent="0.3">
      <c r="B27" s="111" t="s">
        <v>87</v>
      </c>
      <c r="C27" s="112"/>
      <c r="D27" s="112"/>
      <c r="E27" s="113"/>
      <c r="I27" s="97"/>
    </row>
    <row r="28" spans="2:23" ht="18.75" x14ac:dyDescent="0.35">
      <c r="B28" s="114"/>
      <c r="C28" s="87"/>
      <c r="D28" s="1154" t="s">
        <v>88</v>
      </c>
      <c r="E28" s="1155"/>
      <c r="H28" s="115"/>
      <c r="I28" s="97"/>
      <c r="J28" s="1162"/>
      <c r="K28" s="1163"/>
      <c r="L28" s="1163"/>
      <c r="M28" s="1164"/>
    </row>
    <row r="29" spans="2:23" ht="16.5" thickBot="1" x14ac:dyDescent="0.35">
      <c r="C29" s="116"/>
      <c r="D29" s="117" t="s">
        <v>89</v>
      </c>
      <c r="E29" s="114" t="s">
        <v>90</v>
      </c>
      <c r="F29" s="114"/>
    </row>
    <row r="30" spans="2:23" ht="20.25" thickBot="1" x14ac:dyDescent="0.3">
      <c r="C30" s="94" t="s">
        <v>91</v>
      </c>
      <c r="D30" s="193"/>
      <c r="E30" s="193"/>
      <c r="G30" s="111" t="s">
        <v>92</v>
      </c>
      <c r="H30" s="118"/>
      <c r="I30" s="118"/>
      <c r="J30" s="118"/>
      <c r="K30" s="118"/>
      <c r="L30" s="118"/>
      <c r="M30" s="118"/>
      <c r="N30" s="118"/>
      <c r="O30" s="118"/>
      <c r="P30" s="118"/>
      <c r="Q30" s="118"/>
      <c r="R30" s="119"/>
    </row>
    <row r="31" spans="2:23" ht="15.75" customHeight="1" thickBot="1" x14ac:dyDescent="0.3">
      <c r="C31" s="94" t="s">
        <v>93</v>
      </c>
      <c r="D31" s="193"/>
      <c r="E31" s="193"/>
      <c r="G31" s="120" t="s">
        <v>94</v>
      </c>
      <c r="H31" s="121"/>
      <c r="I31" s="121"/>
      <c r="J31" s="121"/>
      <c r="K31" s="121"/>
      <c r="L31" s="121"/>
      <c r="M31" s="121"/>
    </row>
    <row r="32" spans="2:23" ht="15.75" customHeight="1" x14ac:dyDescent="0.25">
      <c r="C32" s="94" t="s">
        <v>95</v>
      </c>
      <c r="D32" s="193"/>
      <c r="E32" s="193"/>
      <c r="G32" s="1156" t="s">
        <v>96</v>
      </c>
      <c r="H32" s="1157"/>
      <c r="I32" s="1157"/>
      <c r="J32" s="1158"/>
      <c r="K32" s="1151" t="s">
        <v>97</v>
      </c>
      <c r="L32" s="1151" t="s">
        <v>98</v>
      </c>
      <c r="M32" s="1151" t="s">
        <v>99</v>
      </c>
      <c r="N32" s="1151" t="s">
        <v>100</v>
      </c>
      <c r="O32" s="1151" t="s">
        <v>101</v>
      </c>
      <c r="P32" s="1151" t="s">
        <v>102</v>
      </c>
      <c r="Q32" s="1170" t="s">
        <v>103</v>
      </c>
      <c r="R32" s="1168" t="s">
        <v>104</v>
      </c>
    </row>
    <row r="33" spans="2:20" ht="15.75" thickBot="1" x14ac:dyDescent="0.3">
      <c r="C33" s="94" t="s">
        <v>105</v>
      </c>
      <c r="D33" s="193"/>
      <c r="E33" s="193"/>
      <c r="G33" s="1159" t="s">
        <v>106</v>
      </c>
      <c r="H33" s="1160"/>
      <c r="I33" s="1160"/>
      <c r="J33" s="1161"/>
      <c r="K33" s="1152"/>
      <c r="L33" s="1153"/>
      <c r="M33" s="1153"/>
      <c r="N33" s="1153"/>
      <c r="O33" s="1152"/>
      <c r="P33" s="1152"/>
      <c r="Q33" s="1171"/>
      <c r="R33" s="1169"/>
    </row>
    <row r="34" spans="2:20" ht="15.75" customHeight="1" thickBot="1" x14ac:dyDescent="0.3">
      <c r="C34" s="94" t="s">
        <v>107</v>
      </c>
      <c r="D34" s="193"/>
      <c r="E34" s="193"/>
      <c r="G34" s="1139" t="s">
        <v>108</v>
      </c>
      <c r="H34" s="1140"/>
      <c r="I34" s="1140"/>
      <c r="J34" s="1141"/>
      <c r="K34" s="195"/>
      <c r="L34" s="195"/>
      <c r="M34" s="195"/>
      <c r="N34" s="195"/>
      <c r="O34" s="195"/>
      <c r="P34" s="195"/>
      <c r="Q34" s="6"/>
      <c r="R34" s="6"/>
    </row>
    <row r="35" spans="2:20" ht="16.5" customHeight="1" thickBot="1" x14ac:dyDescent="0.3">
      <c r="C35" s="94" t="s">
        <v>109</v>
      </c>
      <c r="D35" s="193"/>
      <c r="E35" s="193"/>
      <c r="G35" s="1142" t="s">
        <v>110</v>
      </c>
      <c r="H35" s="1143"/>
      <c r="I35" s="1143"/>
      <c r="J35" s="1144"/>
      <c r="K35" s="196"/>
      <c r="L35" s="196"/>
      <c r="M35" s="196"/>
      <c r="N35" s="196"/>
      <c r="O35" s="196"/>
      <c r="P35" s="196"/>
      <c r="Q35" s="7"/>
      <c r="R35" s="7"/>
    </row>
    <row r="36" spans="2:20" ht="15.75" customHeight="1" thickBot="1" x14ac:dyDescent="0.3">
      <c r="C36" s="94" t="s">
        <v>111</v>
      </c>
      <c r="D36" s="193"/>
      <c r="E36" s="193"/>
      <c r="G36" s="1145" t="s">
        <v>112</v>
      </c>
      <c r="H36" s="1146"/>
      <c r="I36" s="1146"/>
      <c r="J36" s="1147"/>
      <c r="K36" s="197"/>
      <c r="L36" s="197" t="s">
        <v>19</v>
      </c>
      <c r="M36" s="197" t="s">
        <v>19</v>
      </c>
      <c r="N36" s="197" t="s">
        <v>19</v>
      </c>
      <c r="O36" s="197"/>
      <c r="P36" s="197" t="s">
        <v>19</v>
      </c>
      <c r="Q36" s="7"/>
      <c r="R36" s="7"/>
    </row>
    <row r="37" spans="2:20" ht="15.75" customHeight="1" thickBot="1" x14ac:dyDescent="0.3">
      <c r="C37" s="94" t="s">
        <v>113</v>
      </c>
      <c r="D37" s="193"/>
      <c r="E37" s="193"/>
      <c r="G37" s="1145" t="s">
        <v>114</v>
      </c>
      <c r="H37" s="1146"/>
      <c r="I37" s="1146"/>
      <c r="J37" s="1147"/>
      <c r="K37" s="197"/>
      <c r="L37" s="197" t="s">
        <v>19</v>
      </c>
      <c r="M37" s="197"/>
      <c r="N37" s="197" t="s">
        <v>19</v>
      </c>
      <c r="O37" s="197"/>
      <c r="P37" s="197" t="s">
        <v>19</v>
      </c>
      <c r="Q37" s="7"/>
      <c r="R37" s="7"/>
    </row>
    <row r="38" spans="2:20" ht="15.75" customHeight="1" thickBot="1" x14ac:dyDescent="0.3">
      <c r="C38" s="94" t="s">
        <v>115</v>
      </c>
      <c r="D38" s="193"/>
      <c r="E38" s="193"/>
      <c r="G38" s="1145" t="s">
        <v>116</v>
      </c>
      <c r="H38" s="1146"/>
      <c r="I38" s="1146"/>
      <c r="J38" s="1147"/>
      <c r="K38" s="197"/>
      <c r="L38" s="197"/>
      <c r="M38" s="197"/>
      <c r="N38" s="197"/>
      <c r="O38" s="197"/>
      <c r="P38" s="197"/>
      <c r="Q38" s="7"/>
      <c r="R38" s="7"/>
    </row>
    <row r="39" spans="2:20" ht="15.75" customHeight="1" thickBot="1" x14ac:dyDescent="0.3">
      <c r="C39" s="94" t="s">
        <v>117</v>
      </c>
      <c r="D39" s="193"/>
      <c r="E39" s="193"/>
      <c r="G39" s="1145" t="s">
        <v>118</v>
      </c>
      <c r="H39" s="1146"/>
      <c r="I39" s="1146"/>
      <c r="J39" s="1147"/>
      <c r="K39" s="197"/>
      <c r="L39" s="197"/>
      <c r="M39" s="197"/>
      <c r="N39" s="197"/>
      <c r="O39" s="197"/>
      <c r="P39" s="197"/>
      <c r="Q39" s="7"/>
      <c r="R39" s="7"/>
    </row>
    <row r="40" spans="2:20" ht="15.75" thickBot="1" x14ac:dyDescent="0.3">
      <c r="C40" s="94" t="s">
        <v>119</v>
      </c>
      <c r="D40" s="193"/>
      <c r="E40" s="193"/>
      <c r="G40" s="1145" t="s">
        <v>120</v>
      </c>
      <c r="H40" s="1146"/>
      <c r="I40" s="1146"/>
      <c r="J40" s="1147"/>
      <c r="K40" s="197"/>
      <c r="L40" s="197" t="s">
        <v>19</v>
      </c>
      <c r="M40" s="197" t="s">
        <v>19</v>
      </c>
      <c r="N40" s="197" t="s">
        <v>19</v>
      </c>
      <c r="O40" s="197"/>
      <c r="P40" s="197" t="s">
        <v>19</v>
      </c>
      <c r="Q40" s="7"/>
      <c r="R40" s="7"/>
    </row>
    <row r="41" spans="2:20" ht="15.75" customHeight="1" thickBot="1" x14ac:dyDescent="0.3">
      <c r="C41" s="94" t="s">
        <v>121</v>
      </c>
      <c r="D41" s="193"/>
      <c r="E41" s="193"/>
      <c r="G41" s="1145" t="s">
        <v>122</v>
      </c>
      <c r="H41" s="1146"/>
      <c r="I41" s="1146"/>
      <c r="J41" s="1147"/>
      <c r="K41" s="197"/>
      <c r="L41" s="197"/>
      <c r="M41" s="197" t="s">
        <v>19</v>
      </c>
      <c r="N41" s="197" t="s">
        <v>19</v>
      </c>
      <c r="O41" s="197"/>
      <c r="P41" s="197" t="s">
        <v>19</v>
      </c>
      <c r="Q41" s="7"/>
      <c r="R41" s="7"/>
      <c r="T41" s="95" t="s">
        <v>123</v>
      </c>
    </row>
    <row r="42" spans="2:20" ht="15.75" customHeight="1" thickBot="1" x14ac:dyDescent="0.3">
      <c r="C42" s="94" t="s">
        <v>124</v>
      </c>
      <c r="D42" s="194"/>
      <c r="E42" s="194"/>
      <c r="G42" s="1145" t="s">
        <v>125</v>
      </c>
      <c r="H42" s="1146"/>
      <c r="I42" s="1146"/>
      <c r="J42" s="1147"/>
      <c r="K42" s="197"/>
      <c r="L42" s="197" t="s">
        <v>19</v>
      </c>
      <c r="M42" s="197" t="s">
        <v>19</v>
      </c>
      <c r="N42" s="197" t="s">
        <v>19</v>
      </c>
      <c r="O42" s="197"/>
      <c r="P42" s="197" t="s">
        <v>19</v>
      </c>
      <c r="Q42" s="7"/>
      <c r="R42" s="7"/>
      <c r="T42" s="122" t="s">
        <v>126</v>
      </c>
    </row>
    <row r="43" spans="2:20" ht="16.5" customHeight="1" thickBot="1" x14ac:dyDescent="0.4">
      <c r="C43" s="94" t="s">
        <v>127</v>
      </c>
      <c r="D43" s="123">
        <f>SUM(D30:D42)</f>
        <v>0</v>
      </c>
      <c r="E43" s="123">
        <f>SUM(E30:E42)</f>
        <v>0</v>
      </c>
      <c r="F43" s="21" t="s">
        <v>128</v>
      </c>
      <c r="G43" s="1145" t="s">
        <v>129</v>
      </c>
      <c r="H43" s="1146"/>
      <c r="I43" s="1146"/>
      <c r="J43" s="1147"/>
      <c r="K43" s="197"/>
      <c r="L43" s="197" t="s">
        <v>19</v>
      </c>
      <c r="M43" s="197" t="s">
        <v>19</v>
      </c>
      <c r="N43" s="197" t="s">
        <v>19</v>
      </c>
      <c r="O43" s="197"/>
      <c r="P43" s="197" t="s">
        <v>19</v>
      </c>
      <c r="Q43" s="7"/>
      <c r="R43" s="7"/>
      <c r="T43" s="124" t="s">
        <v>130</v>
      </c>
    </row>
    <row r="44" spans="2:20" ht="15.75" customHeight="1" thickBot="1" x14ac:dyDescent="0.3">
      <c r="C44" s="103" t="s">
        <v>131</v>
      </c>
      <c r="D44" s="125">
        <f>IF(D43=0,0,SUM(D31:D42)/D43*100)</f>
        <v>0</v>
      </c>
      <c r="E44" s="125">
        <f>IF(E43=0,0,SUM(E31:E42)/E43*100)</f>
        <v>0</v>
      </c>
      <c r="F44" s="21" t="s">
        <v>86</v>
      </c>
      <c r="G44" s="1145" t="s">
        <v>132</v>
      </c>
      <c r="H44" s="1146"/>
      <c r="I44" s="1146"/>
      <c r="J44" s="1147"/>
      <c r="K44" s="197"/>
      <c r="L44" s="197" t="s">
        <v>19</v>
      </c>
      <c r="M44" s="197" t="s">
        <v>19</v>
      </c>
      <c r="N44" s="197" t="s">
        <v>19</v>
      </c>
      <c r="O44" s="197"/>
      <c r="P44" s="197" t="s">
        <v>19</v>
      </c>
      <c r="Q44" s="7"/>
      <c r="R44" s="7"/>
      <c r="T44" s="122" t="s">
        <v>133</v>
      </c>
    </row>
    <row r="45" spans="2:20" ht="15.75" customHeight="1" thickBot="1" x14ac:dyDescent="0.3">
      <c r="C45" s="103" t="s">
        <v>134</v>
      </c>
      <c r="D45" s="126">
        <f>IF(D43=0,0,D30/D43*100)</f>
        <v>0</v>
      </c>
      <c r="E45" s="126">
        <f>IF(E43=0,0,E30/E43*100)</f>
        <v>0</v>
      </c>
      <c r="F45" s="21" t="s">
        <v>86</v>
      </c>
      <c r="G45" s="1145" t="s">
        <v>135</v>
      </c>
      <c r="H45" s="1146"/>
      <c r="I45" s="1146"/>
      <c r="J45" s="1147"/>
      <c r="K45" s="197"/>
      <c r="L45" s="197" t="s">
        <v>19</v>
      </c>
      <c r="M45" s="197" t="s">
        <v>19</v>
      </c>
      <c r="N45" s="197" t="s">
        <v>19</v>
      </c>
      <c r="O45" s="197"/>
      <c r="P45" s="197" t="s">
        <v>19</v>
      </c>
      <c r="Q45" s="7"/>
      <c r="R45" s="7"/>
      <c r="T45" s="122" t="s">
        <v>136</v>
      </c>
    </row>
    <row r="46" spans="2:20" ht="15.75" customHeight="1" thickBot="1" x14ac:dyDescent="0.3">
      <c r="G46" s="1145" t="s">
        <v>137</v>
      </c>
      <c r="H46" s="1146"/>
      <c r="I46" s="1146"/>
      <c r="J46" s="1147"/>
      <c r="K46" s="198"/>
      <c r="L46" s="198" t="s">
        <v>19</v>
      </c>
      <c r="M46" s="198" t="s">
        <v>19</v>
      </c>
      <c r="N46" s="198" t="s">
        <v>19</v>
      </c>
      <c r="O46" s="198"/>
      <c r="P46" s="198" t="s">
        <v>19</v>
      </c>
      <c r="Q46" s="199"/>
      <c r="R46" s="199"/>
      <c r="T46" s="122" t="s">
        <v>138</v>
      </c>
    </row>
    <row r="47" spans="2:20" ht="16.5" customHeight="1" thickBot="1" x14ac:dyDescent="0.3">
      <c r="B47" s="105"/>
      <c r="G47" s="1142" t="s">
        <v>139</v>
      </c>
      <c r="H47" s="1143"/>
      <c r="I47" s="1143"/>
      <c r="J47" s="1144"/>
      <c r="K47" s="1136"/>
      <c r="L47" s="1137"/>
      <c r="M47" s="1137"/>
      <c r="N47" s="1137"/>
      <c r="O47" s="1137"/>
      <c r="P47" s="1137"/>
      <c r="Q47" s="1138"/>
      <c r="R47" s="199"/>
      <c r="T47" s="124" t="s">
        <v>140</v>
      </c>
    </row>
    <row r="48" spans="2:20" ht="16.5" customHeight="1" thickBot="1" x14ac:dyDescent="0.3">
      <c r="B48" s="111" t="s">
        <v>141</v>
      </c>
      <c r="C48" s="112"/>
      <c r="D48" s="112"/>
      <c r="E48" s="112"/>
      <c r="F48" s="113"/>
      <c r="G48" s="1172" t="s">
        <v>142</v>
      </c>
      <c r="H48" s="1173"/>
      <c r="I48" s="1173"/>
      <c r="J48" s="1174"/>
      <c r="K48" s="924"/>
      <c r="L48" s="924"/>
      <c r="M48" s="924"/>
      <c r="N48" s="924" t="s">
        <v>19</v>
      </c>
      <c r="O48" s="924"/>
      <c r="P48" s="924" t="s">
        <v>19</v>
      </c>
      <c r="Q48" s="925"/>
      <c r="R48" s="200"/>
      <c r="T48" s="124" t="s">
        <v>143</v>
      </c>
    </row>
    <row r="49" spans="2:18" ht="20.25" customHeight="1" thickBot="1" x14ac:dyDescent="0.3">
      <c r="B49" s="128"/>
      <c r="D49" s="129" t="str">
        <f>D29</f>
        <v>Före</v>
      </c>
      <c r="E49" s="130" t="str">
        <f>E29</f>
        <v>Efter</v>
      </c>
      <c r="G49" s="1165" t="s">
        <v>144</v>
      </c>
      <c r="H49" s="1166"/>
      <c r="I49" s="1166"/>
      <c r="J49" s="1167"/>
      <c r="K49" s="926"/>
      <c r="L49" s="926"/>
      <c r="M49" s="926"/>
      <c r="N49" s="926" t="s">
        <v>19</v>
      </c>
      <c r="O49" s="926"/>
      <c r="P49" s="926" t="s">
        <v>19</v>
      </c>
      <c r="Q49" s="927"/>
      <c r="R49" s="200"/>
    </row>
    <row r="50" spans="2:18" ht="15" customHeight="1" x14ac:dyDescent="0.3">
      <c r="B50" s="131"/>
      <c r="C50" s="132" t="s">
        <v>145</v>
      </c>
      <c r="D50" s="201">
        <v>29</v>
      </c>
      <c r="E50" s="133">
        <f>D50</f>
        <v>29</v>
      </c>
      <c r="F50" s="97"/>
      <c r="H50" s="115" t="s">
        <v>146</v>
      </c>
      <c r="N50" s="97"/>
    </row>
    <row r="51" spans="2:18" ht="15" customHeight="1" x14ac:dyDescent="0.25">
      <c r="B51" s="131"/>
      <c r="C51" s="132" t="s">
        <v>147</v>
      </c>
      <c r="D51" s="135" t="str">
        <f>IFERROR(VLOOKUP(C6,Tabell1[],2),"")</f>
        <v/>
      </c>
      <c r="E51" s="135" t="str">
        <f>D51</f>
        <v/>
      </c>
      <c r="F51" s="97"/>
      <c r="H51" s="134" t="s">
        <v>148</v>
      </c>
      <c r="N51" s="97"/>
    </row>
    <row r="52" spans="2:18" ht="15" customHeight="1" x14ac:dyDescent="0.3">
      <c r="C52" s="132" t="s">
        <v>149</v>
      </c>
      <c r="D52" s="136">
        <f>D44/100*D43</f>
        <v>0</v>
      </c>
      <c r="E52" s="136">
        <f>E44/100*E43</f>
        <v>0</v>
      </c>
      <c r="F52" s="97" t="s">
        <v>150</v>
      </c>
      <c r="G52" s="95"/>
      <c r="H52" s="134" t="s">
        <v>151</v>
      </c>
    </row>
    <row r="53" spans="2:18" ht="15" customHeight="1" x14ac:dyDescent="0.3">
      <c r="C53" s="132" t="s">
        <v>152</v>
      </c>
      <c r="D53" s="136">
        <f>D45/100*D43</f>
        <v>0</v>
      </c>
      <c r="E53" s="136">
        <f>E45/100*E43</f>
        <v>0</v>
      </c>
      <c r="F53" s="97" t="s">
        <v>150</v>
      </c>
      <c r="G53" s="124"/>
    </row>
    <row r="54" spans="2:18" ht="15" customHeight="1" x14ac:dyDescent="0.3">
      <c r="B54" s="102"/>
      <c r="C54" s="132" t="s">
        <v>153</v>
      </c>
      <c r="D54" s="202"/>
      <c r="E54" s="138">
        <f>D54</f>
        <v>0</v>
      </c>
      <c r="F54" s="97" t="s">
        <v>86</v>
      </c>
      <c r="G54" s="115"/>
      <c r="H54" s="137" t="s">
        <v>154</v>
      </c>
    </row>
    <row r="55" spans="2:18" ht="15" customHeight="1" thickBot="1" x14ac:dyDescent="0.35">
      <c r="C55" s="139" t="s">
        <v>155</v>
      </c>
      <c r="D55" s="203"/>
      <c r="E55" s="140">
        <f>D55</f>
        <v>0</v>
      </c>
      <c r="F55" s="97" t="s">
        <v>156</v>
      </c>
      <c r="H55" s="137" t="s">
        <v>157</v>
      </c>
      <c r="K55" s="45"/>
    </row>
    <row r="56" spans="2:18" ht="15" customHeight="1" x14ac:dyDescent="0.35">
      <c r="B56" s="141"/>
      <c r="C56" s="91" t="s">
        <v>158</v>
      </c>
      <c r="G56" s="1041"/>
      <c r="H56" s="1042"/>
      <c r="I56" s="1042"/>
      <c r="J56" s="1047" t="s">
        <v>159</v>
      </c>
      <c r="K56" s="1033">
        <f>D43*D44/100</f>
        <v>0</v>
      </c>
      <c r="L56" s="97" t="s">
        <v>160</v>
      </c>
    </row>
    <row r="57" spans="2:18" ht="15" customHeight="1" x14ac:dyDescent="0.35">
      <c r="B57" s="141"/>
      <c r="C57" s="132" t="s">
        <v>161</v>
      </c>
      <c r="D57" s="143">
        <f>IF(D50=25,H68+K68,H67+K67)</f>
        <v>56</v>
      </c>
      <c r="E57" s="143">
        <f>IF(E50=25,H68+K68,H67+K67)</f>
        <v>56</v>
      </c>
      <c r="F57" s="93" t="s">
        <v>162</v>
      </c>
      <c r="G57" s="1043"/>
      <c r="H57" s="1040"/>
      <c r="I57" s="1040"/>
      <c r="J57" s="142" t="s">
        <v>163</v>
      </c>
      <c r="K57" s="1034"/>
      <c r="L57" s="93" t="s">
        <v>164</v>
      </c>
    </row>
    <row r="58" spans="2:18" ht="15.75" customHeight="1" x14ac:dyDescent="0.3">
      <c r="C58" s="132" t="s">
        <v>165</v>
      </c>
      <c r="D58" s="143">
        <f>IF(D50=25,G68+J68,G67+J67)</f>
        <v>75</v>
      </c>
      <c r="E58" s="143">
        <f>IF(E50=25,G68+J68,G67+J67)</f>
        <v>75</v>
      </c>
      <c r="F58" s="93" t="s">
        <v>162</v>
      </c>
      <c r="G58" s="1043"/>
      <c r="H58" s="1040"/>
      <c r="I58" s="1040"/>
      <c r="J58" s="142" t="s">
        <v>166</v>
      </c>
      <c r="K58" s="1035">
        <f>IF(K56&gt;0,(K57*7+K56*0.35)/K56,0)</f>
        <v>0</v>
      </c>
      <c r="L58" s="144" t="s">
        <v>167</v>
      </c>
    </row>
    <row r="59" spans="2:18" ht="15" customHeight="1" x14ac:dyDescent="0.3">
      <c r="C59" s="132" t="s">
        <v>168</v>
      </c>
      <c r="D59" s="145">
        <f>(D44*D57+D45*D58)/100</f>
        <v>0</v>
      </c>
      <c r="E59" s="145">
        <f>(E44*E57+E45*E58)/100</f>
        <v>0</v>
      </c>
      <c r="F59" s="93" t="s">
        <v>162</v>
      </c>
      <c r="G59" s="1043"/>
      <c r="H59" s="1040"/>
      <c r="I59" s="1040"/>
      <c r="J59" s="142" t="s">
        <v>169</v>
      </c>
      <c r="K59" s="1036"/>
      <c r="L59" s="144" t="s">
        <v>167</v>
      </c>
    </row>
    <row r="60" spans="2:18" ht="15" customHeight="1" x14ac:dyDescent="0.3">
      <c r="C60" s="146" t="s">
        <v>170</v>
      </c>
      <c r="D60" s="97"/>
      <c r="E60" s="97"/>
      <c r="G60" s="1043"/>
      <c r="H60" s="1040"/>
      <c r="I60" s="1040"/>
      <c r="J60" s="142" t="s">
        <v>171</v>
      </c>
      <c r="K60" s="1037"/>
      <c r="L60" s="144" t="s">
        <v>172</v>
      </c>
    </row>
    <row r="61" spans="2:18" ht="15" customHeight="1" x14ac:dyDescent="0.3">
      <c r="C61" s="103" t="s">
        <v>161</v>
      </c>
      <c r="D61" s="133">
        <f>IF(D50=25,H72,H71)</f>
        <v>0.5</v>
      </c>
      <c r="E61" s="133">
        <f>IF(E50=25,H72,H71)</f>
        <v>0.5</v>
      </c>
      <c r="F61" s="93" t="s">
        <v>173</v>
      </c>
      <c r="G61" s="1044"/>
      <c r="H61" s="1040"/>
      <c r="I61" s="1040"/>
      <c r="J61" s="142" t="s">
        <v>174</v>
      </c>
      <c r="K61" s="1038"/>
      <c r="L61" s="144" t="s">
        <v>167</v>
      </c>
    </row>
    <row r="62" spans="2:18" ht="16.5" thickBot="1" x14ac:dyDescent="0.35">
      <c r="C62" s="103" t="s">
        <v>165</v>
      </c>
      <c r="D62" s="133">
        <f>IF(D50=25,G72,G71)</f>
        <v>0.4</v>
      </c>
      <c r="E62" s="133">
        <f>IF(E50=25,G72,G71)</f>
        <v>0.4</v>
      </c>
      <c r="F62" s="93" t="s">
        <v>173</v>
      </c>
      <c r="G62" s="1045"/>
      <c r="H62" s="1046"/>
      <c r="I62" s="1046"/>
      <c r="J62" s="147" t="s">
        <v>175</v>
      </c>
      <c r="K62" s="1039">
        <f>(K59*K60+K61*(168-K60))/168</f>
        <v>0</v>
      </c>
      <c r="L62" s="144" t="s">
        <v>167</v>
      </c>
    </row>
    <row r="63" spans="2:18" x14ac:dyDescent="0.25">
      <c r="C63" s="103" t="s">
        <v>168</v>
      </c>
      <c r="D63" s="133">
        <f>(D44*D61+D45*D62)/100</f>
        <v>0</v>
      </c>
      <c r="E63" s="148">
        <f>(E44*E61+E45*E62)/100</f>
        <v>0</v>
      </c>
      <c r="F63" s="93" t="s">
        <v>173</v>
      </c>
      <c r="H63" s="124" t="s">
        <v>176</v>
      </c>
    </row>
    <row r="64" spans="2:18" x14ac:dyDescent="0.25">
      <c r="E64" s="149"/>
    </row>
    <row r="65" spans="2:12" ht="16.5" thickBot="1" x14ac:dyDescent="0.35">
      <c r="B65" s="149"/>
      <c r="C65" s="149"/>
      <c r="D65" s="150" t="s">
        <v>177</v>
      </c>
      <c r="E65" s="150"/>
      <c r="F65" s="114"/>
      <c r="G65" s="45"/>
      <c r="I65" s="114" t="s">
        <v>178</v>
      </c>
      <c r="K65" s="45"/>
    </row>
    <row r="66" spans="2:12" ht="43.5" thickBot="1" x14ac:dyDescent="0.35">
      <c r="B66" s="149"/>
      <c r="C66" s="151" t="s">
        <v>179</v>
      </c>
      <c r="D66" s="152" t="s">
        <v>180</v>
      </c>
      <c r="E66" s="152" t="s">
        <v>181</v>
      </c>
      <c r="F66" s="153" t="s">
        <v>182</v>
      </c>
      <c r="G66" s="152" t="s">
        <v>183</v>
      </c>
      <c r="H66" s="152" t="s">
        <v>184</v>
      </c>
      <c r="I66" s="152" t="s">
        <v>185</v>
      </c>
      <c r="J66" s="152" t="s">
        <v>183</v>
      </c>
      <c r="K66" s="152" t="s">
        <v>184</v>
      </c>
    </row>
    <row r="67" spans="2:12" x14ac:dyDescent="0.25">
      <c r="B67" s="149"/>
      <c r="C67" s="154" t="s">
        <v>186</v>
      </c>
      <c r="D67" s="155">
        <v>100</v>
      </c>
      <c r="E67" s="156">
        <v>95</v>
      </c>
      <c r="F67" s="156">
        <v>90</v>
      </c>
      <c r="G67" s="156">
        <v>75</v>
      </c>
      <c r="H67" s="156">
        <v>70</v>
      </c>
      <c r="I67" s="157"/>
      <c r="J67" s="158">
        <f>IF(D54&gt;50,40*(D55-0.35),0)</f>
        <v>0</v>
      </c>
      <c r="K67" s="159">
        <f>40*(D55-0.35)</f>
        <v>-14</v>
      </c>
      <c r="L67" s="144" t="s">
        <v>162</v>
      </c>
    </row>
    <row r="68" spans="2:12" x14ac:dyDescent="0.25">
      <c r="B68" s="149"/>
      <c r="C68" s="160" t="s">
        <v>187</v>
      </c>
      <c r="D68" s="161">
        <v>90</v>
      </c>
      <c r="E68" s="162">
        <v>90</v>
      </c>
      <c r="F68" s="162">
        <v>90</v>
      </c>
      <c r="G68" s="162">
        <v>85</v>
      </c>
      <c r="H68" s="162">
        <v>80</v>
      </c>
      <c r="I68" s="163"/>
      <c r="J68" s="164">
        <f>IF(D54&gt;50,70*(D55-0.35),0)</f>
        <v>0</v>
      </c>
      <c r="K68" s="165">
        <f>70*(D55-0.35)</f>
        <v>-24.5</v>
      </c>
      <c r="L68" s="144" t="s">
        <v>162</v>
      </c>
    </row>
    <row r="69" spans="2:12" x14ac:dyDescent="0.25">
      <c r="B69" s="149"/>
      <c r="C69" s="154" t="s">
        <v>188</v>
      </c>
      <c r="D69" s="166" t="str">
        <f>IFERROR(4.5+IF($D$51&lt;1,0,1.7*($D$51-1)),"!")</f>
        <v>!</v>
      </c>
      <c r="E69" s="166" t="str">
        <f t="shared" ref="E69:H70" si="0">IFERROR(4.5+IF($D$51&lt;1,0,1.7*($D$51-1)),"!")</f>
        <v>!</v>
      </c>
      <c r="F69" s="166" t="str">
        <f t="shared" si="0"/>
        <v>!</v>
      </c>
      <c r="G69" s="166" t="str">
        <f t="shared" si="0"/>
        <v>!</v>
      </c>
      <c r="H69" s="166" t="str">
        <f t="shared" si="0"/>
        <v>!</v>
      </c>
      <c r="I69" s="167" t="e">
        <f>IF(D51&lt;1,(0.025)*(D53-130),(0.025+0.02*(D51-1))*(D53-130))</f>
        <v>#VALUE!</v>
      </c>
      <c r="J69" s="168" t="e">
        <f>IF(D51&lt;1,0.025*(D53-130)+0.022*(D55-0.35)*D53,(0.025+0.02*(D51-1))*(D53-130)+(0.022+0.02*(D51-1))*(D55-0.35)*D53)</f>
        <v>#VALUE!</v>
      </c>
      <c r="K69" s="169" t="e">
        <f>IF(D51&lt;1,0.025*(D52-130)+0.022*(D55-0.35)*D52,(0.025+0.02*(D51-1))*(D52-130)+(0.022+0.02*(D51-1))*(D55-0.35)*D52)</f>
        <v>#VALUE!</v>
      </c>
      <c r="L69" s="93" t="s">
        <v>189</v>
      </c>
    </row>
    <row r="70" spans="2:12" x14ac:dyDescent="0.25">
      <c r="B70" s="149"/>
      <c r="C70" s="160" t="s">
        <v>190</v>
      </c>
      <c r="D70" s="170" t="str">
        <f>IFERROR(4.5+IF($D$51&lt;1,0,1.7*($D$51-1)),"!")</f>
        <v>!</v>
      </c>
      <c r="E70" s="170" t="str">
        <f t="shared" si="0"/>
        <v>!</v>
      </c>
      <c r="F70" s="170" t="str">
        <f t="shared" si="0"/>
        <v>!</v>
      </c>
      <c r="G70" s="170" t="str">
        <f t="shared" si="0"/>
        <v>!</v>
      </c>
      <c r="H70" s="170" t="str">
        <f t="shared" si="0"/>
        <v>!</v>
      </c>
      <c r="I70" s="167" t="e">
        <f>IF(D51&lt;1,(0.025)*(D53-130),(0.025+0.02*(D51-1))*(D53-130))</f>
        <v>#VALUE!</v>
      </c>
      <c r="J70" s="168" t="e">
        <f>IF(D51&lt;1,0.025*(D53-130)+0.022*(D55-0.35)*D53,(0.025+0.02*(D51-1))*(D53-130)+(0.022+0.02*(D51-1))*(D55-0.35)*D53)</f>
        <v>#VALUE!</v>
      </c>
      <c r="K70" s="169" t="e">
        <f>IF(D51&lt;1,0.025*(D52-130)+0.022*(D55-0.35)*D52,(0.025+0.02*(D51-1))*(D52-130)+(0.022+0.02*(D51-1))*(D55-0.35)*D52)</f>
        <v>#VALUE!</v>
      </c>
      <c r="L70" s="93" t="s">
        <v>189</v>
      </c>
    </row>
    <row r="71" spans="2:12" ht="15.75" x14ac:dyDescent="0.3">
      <c r="B71" s="149"/>
      <c r="C71" s="154" t="s">
        <v>191</v>
      </c>
      <c r="D71" s="171">
        <v>0.3</v>
      </c>
      <c r="E71" s="166">
        <v>0.3</v>
      </c>
      <c r="F71" s="166">
        <v>0.3</v>
      </c>
      <c r="G71" s="166">
        <v>0.4</v>
      </c>
      <c r="H71" s="166">
        <v>0.5</v>
      </c>
      <c r="I71" s="172"/>
      <c r="J71" s="173"/>
      <c r="K71" s="174"/>
      <c r="L71" s="97" t="s">
        <v>192</v>
      </c>
    </row>
    <row r="72" spans="2:12" ht="16.5" thickBot="1" x14ac:dyDescent="0.35">
      <c r="B72" s="149"/>
      <c r="C72" s="175" t="s">
        <v>193</v>
      </c>
      <c r="D72" s="176">
        <v>0.4</v>
      </c>
      <c r="E72" s="177">
        <v>0.4</v>
      </c>
      <c r="F72" s="177">
        <v>0.4</v>
      </c>
      <c r="G72" s="177">
        <v>0.4</v>
      </c>
      <c r="H72" s="177">
        <v>0.6</v>
      </c>
      <c r="I72" s="178"/>
      <c r="J72" s="179"/>
      <c r="K72" s="180"/>
      <c r="L72" s="97" t="s">
        <v>192</v>
      </c>
    </row>
    <row r="73" spans="2:12" ht="15.75" x14ac:dyDescent="0.25">
      <c r="B73" s="149"/>
      <c r="D73" s="181"/>
      <c r="E73" s="181"/>
      <c r="F73" s="181"/>
    </row>
    <row r="74" spans="2:12" ht="15.75" x14ac:dyDescent="0.3">
      <c r="E74" s="149"/>
      <c r="F74" s="149"/>
      <c r="G74" s="182"/>
      <c r="H74" s="182"/>
    </row>
    <row r="75" spans="2:12" ht="16.5" x14ac:dyDescent="0.3">
      <c r="B75" s="860" t="s">
        <v>194</v>
      </c>
      <c r="C75" s="183"/>
      <c r="F75" s="861" t="s">
        <v>195</v>
      </c>
    </row>
    <row r="76" spans="2:12" ht="15.75" x14ac:dyDescent="0.3">
      <c r="B76" s="99"/>
      <c r="C76" s="184"/>
      <c r="D76" s="182"/>
      <c r="E76" s="182"/>
      <c r="F76" s="182"/>
    </row>
    <row r="77" spans="2:12" ht="15.75" x14ac:dyDescent="0.3">
      <c r="B77" s="149"/>
      <c r="C77" s="149"/>
      <c r="E77" s="182"/>
      <c r="F77" s="182"/>
    </row>
    <row r="78" spans="2:12" ht="15.75" x14ac:dyDescent="0.3">
      <c r="B78" s="150"/>
      <c r="C78" s="183"/>
    </row>
    <row r="79" spans="2:12" ht="15.75" x14ac:dyDescent="0.3">
      <c r="B79" s="99"/>
      <c r="C79" s="184"/>
    </row>
    <row r="80" spans="2:12" x14ac:dyDescent="0.25">
      <c r="B80" s="149"/>
      <c r="C80" s="149"/>
    </row>
    <row r="81" spans="2:3" ht="15.75" x14ac:dyDescent="0.3">
      <c r="B81" s="99"/>
      <c r="C81" s="185"/>
    </row>
    <row r="100" spans="2:14" x14ac:dyDescent="0.25">
      <c r="B100" s="97" t="s">
        <v>196</v>
      </c>
      <c r="C100" s="32"/>
      <c r="F100" s="97" t="s">
        <v>197</v>
      </c>
    </row>
    <row r="101" spans="2:14" x14ac:dyDescent="0.25">
      <c r="B101" s="97" t="s">
        <v>198</v>
      </c>
      <c r="C101" s="32"/>
      <c r="F101" s="97" t="s">
        <v>199</v>
      </c>
      <c r="G101" s="97"/>
      <c r="H101" s="97"/>
      <c r="I101" s="97"/>
      <c r="J101" s="97"/>
      <c r="K101" s="97"/>
      <c r="L101" s="97"/>
      <c r="M101" s="97"/>
      <c r="N101" s="97"/>
    </row>
    <row r="102" spans="2:14" x14ac:dyDescent="0.25">
      <c r="B102" s="97" t="s">
        <v>200</v>
      </c>
      <c r="C102" s="32"/>
      <c r="F102" s="97" t="s">
        <v>200</v>
      </c>
      <c r="G102" s="97"/>
      <c r="H102" s="97"/>
      <c r="I102" s="97"/>
      <c r="J102" s="97"/>
      <c r="K102" s="97"/>
      <c r="L102" s="97"/>
      <c r="M102" s="97"/>
      <c r="N102" s="97"/>
    </row>
    <row r="103" spans="2:14" x14ac:dyDescent="0.25">
      <c r="B103" s="97" t="s">
        <v>201</v>
      </c>
      <c r="F103" s="97" t="s">
        <v>202</v>
      </c>
      <c r="G103" s="97"/>
      <c r="H103" s="97"/>
      <c r="I103" s="97"/>
      <c r="J103" s="97"/>
      <c r="K103" s="97"/>
      <c r="L103" s="97"/>
      <c r="M103" s="97"/>
      <c r="N103" s="97"/>
    </row>
    <row r="104" spans="2:14" x14ac:dyDescent="0.25">
      <c r="B104" s="97" t="s">
        <v>203</v>
      </c>
      <c r="F104" s="97" t="s">
        <v>203</v>
      </c>
      <c r="G104" s="97"/>
      <c r="H104" s="97"/>
      <c r="I104" s="97"/>
      <c r="J104" s="97"/>
      <c r="K104" s="97"/>
      <c r="L104" s="97"/>
      <c r="M104" s="97"/>
      <c r="N104" s="97"/>
    </row>
    <row r="105" spans="2:14" x14ac:dyDescent="0.25">
      <c r="B105" s="97" t="s">
        <v>204</v>
      </c>
      <c r="F105" s="97" t="s">
        <v>204</v>
      </c>
      <c r="G105" s="97"/>
      <c r="H105" s="97"/>
      <c r="I105" s="97"/>
      <c r="J105" s="97"/>
      <c r="K105" s="97"/>
      <c r="L105" s="97"/>
      <c r="M105" s="97"/>
      <c r="N105" s="97"/>
    </row>
    <row r="106" spans="2:14" x14ac:dyDescent="0.25">
      <c r="B106" s="97" t="s">
        <v>205</v>
      </c>
      <c r="F106" s="97" t="s">
        <v>205</v>
      </c>
      <c r="G106" s="97"/>
      <c r="H106" s="97"/>
      <c r="I106" s="97"/>
      <c r="J106" s="97"/>
      <c r="K106" s="97"/>
      <c r="L106" s="97"/>
      <c r="M106" s="97"/>
      <c r="N106" s="97"/>
    </row>
    <row r="107" spans="2:14" x14ac:dyDescent="0.25">
      <c r="B107" s="97" t="s">
        <v>206</v>
      </c>
      <c r="F107" s="97" t="s">
        <v>207</v>
      </c>
      <c r="G107" s="97"/>
      <c r="H107" s="97"/>
      <c r="I107" s="97"/>
      <c r="J107" s="97"/>
      <c r="K107" s="97"/>
      <c r="L107" s="97"/>
      <c r="M107" s="97"/>
      <c r="N107" s="97"/>
    </row>
    <row r="108" spans="2:14" x14ac:dyDescent="0.25">
      <c r="B108" s="97" t="s">
        <v>208</v>
      </c>
      <c r="F108" s="97" t="s">
        <v>209</v>
      </c>
      <c r="G108" s="97"/>
      <c r="H108" s="97"/>
      <c r="I108" s="97"/>
      <c r="J108" s="97"/>
      <c r="K108" s="97"/>
      <c r="L108" s="97"/>
      <c r="M108" s="97"/>
      <c r="N108" s="97"/>
    </row>
    <row r="109" spans="2:14" x14ac:dyDescent="0.25">
      <c r="B109" s="97" t="s">
        <v>210</v>
      </c>
      <c r="F109" s="97" t="s">
        <v>211</v>
      </c>
      <c r="G109" s="97"/>
      <c r="H109" s="97"/>
      <c r="I109" s="97"/>
      <c r="J109" s="97"/>
      <c r="K109" s="97"/>
      <c r="L109" s="97"/>
      <c r="M109" s="97"/>
      <c r="N109" s="97"/>
    </row>
    <row r="110" spans="2:14" x14ac:dyDescent="0.25">
      <c r="B110" s="97" t="s">
        <v>212</v>
      </c>
      <c r="F110" s="97" t="s">
        <v>213</v>
      </c>
      <c r="G110" s="97"/>
      <c r="H110" s="97"/>
      <c r="I110" s="97"/>
      <c r="J110" s="97"/>
      <c r="K110" s="97"/>
      <c r="L110" s="97"/>
      <c r="M110" s="97"/>
      <c r="N110" s="97"/>
    </row>
    <row r="111" spans="2:14" x14ac:dyDescent="0.25">
      <c r="B111" s="97" t="s">
        <v>214</v>
      </c>
      <c r="F111" s="97" t="s">
        <v>215</v>
      </c>
      <c r="G111" s="97"/>
      <c r="H111" s="97"/>
      <c r="I111" s="97"/>
      <c r="J111" s="97"/>
      <c r="K111" s="97"/>
      <c r="L111" s="97"/>
      <c r="M111" s="97"/>
      <c r="N111" s="97"/>
    </row>
    <row r="112" spans="2:14" x14ac:dyDescent="0.25">
      <c r="B112" s="97" t="s">
        <v>216</v>
      </c>
      <c r="F112" s="97" t="s">
        <v>216</v>
      </c>
      <c r="G112" s="97"/>
      <c r="H112" s="97"/>
      <c r="I112" s="97"/>
      <c r="J112" s="97"/>
      <c r="K112" s="97"/>
      <c r="L112" s="97"/>
      <c r="M112" s="97"/>
      <c r="N112" s="97"/>
    </row>
    <row r="113" spans="2:14" x14ac:dyDescent="0.25">
      <c r="B113" s="97" t="s">
        <v>217</v>
      </c>
      <c r="F113" s="97" t="s">
        <v>217</v>
      </c>
      <c r="G113" s="97"/>
      <c r="H113" s="97"/>
      <c r="I113" s="97"/>
      <c r="J113" s="97"/>
      <c r="K113" s="97"/>
      <c r="L113" s="97"/>
      <c r="M113" s="97"/>
      <c r="N113" s="97"/>
    </row>
    <row r="114" spans="2:14" x14ac:dyDescent="0.25">
      <c r="B114" s="97" t="s">
        <v>218</v>
      </c>
      <c r="F114" s="97" t="s">
        <v>218</v>
      </c>
      <c r="G114" s="97"/>
      <c r="H114" s="97"/>
      <c r="I114" s="97"/>
      <c r="J114" s="97"/>
      <c r="K114" s="97"/>
      <c r="L114" s="97"/>
      <c r="M114" s="97"/>
      <c r="N114" s="97"/>
    </row>
    <row r="115" spans="2:14" x14ac:dyDescent="0.25">
      <c r="B115" s="97" t="s">
        <v>219</v>
      </c>
      <c r="F115" s="97" t="s">
        <v>220</v>
      </c>
      <c r="G115" s="97"/>
      <c r="H115" s="97"/>
      <c r="I115" s="97"/>
      <c r="J115" s="97"/>
      <c r="K115" s="97"/>
      <c r="L115" s="97"/>
      <c r="M115" s="97"/>
      <c r="N115" s="97"/>
    </row>
    <row r="116" spans="2:14" x14ac:dyDescent="0.25">
      <c r="B116" s="97" t="s">
        <v>221</v>
      </c>
      <c r="F116" s="97" t="s">
        <v>222</v>
      </c>
      <c r="G116" s="97"/>
      <c r="H116" s="97"/>
      <c r="I116" s="97"/>
      <c r="J116" s="97"/>
      <c r="K116" s="97"/>
      <c r="L116" s="97"/>
      <c r="M116" s="97"/>
      <c r="N116" s="97"/>
    </row>
    <row r="117" spans="2:14" x14ac:dyDescent="0.25">
      <c r="B117" s="97" t="s">
        <v>223</v>
      </c>
      <c r="F117" s="97" t="s">
        <v>223</v>
      </c>
      <c r="G117" s="97"/>
      <c r="H117" s="97"/>
      <c r="I117" s="97"/>
      <c r="J117" s="97"/>
      <c r="K117" s="97"/>
      <c r="L117" s="97"/>
      <c r="M117" s="97"/>
      <c r="N117" s="97"/>
    </row>
    <row r="118" spans="2:14" x14ac:dyDescent="0.25">
      <c r="B118" s="97" t="s">
        <v>224</v>
      </c>
      <c r="F118" s="97" t="s">
        <v>225</v>
      </c>
      <c r="G118" s="97"/>
      <c r="H118" s="97"/>
      <c r="I118" s="97"/>
      <c r="J118" s="97"/>
      <c r="K118" s="97"/>
      <c r="L118" s="97"/>
      <c r="M118" s="97"/>
      <c r="N118" s="97"/>
    </row>
    <row r="119" spans="2:14" x14ac:dyDescent="0.25">
      <c r="B119" s="97" t="s">
        <v>226</v>
      </c>
      <c r="F119" s="97" t="s">
        <v>227</v>
      </c>
      <c r="G119" s="97"/>
      <c r="H119" s="97"/>
      <c r="I119" s="97"/>
      <c r="J119" s="97"/>
      <c r="K119" s="97"/>
      <c r="L119" s="97"/>
      <c r="M119" s="97"/>
      <c r="N119" s="97"/>
    </row>
    <row r="120" spans="2:14" x14ac:dyDescent="0.25">
      <c r="B120" s="97" t="s">
        <v>228</v>
      </c>
      <c r="F120" s="97" t="s">
        <v>229</v>
      </c>
      <c r="G120" s="97"/>
      <c r="H120" s="97"/>
      <c r="I120" s="97"/>
      <c r="J120" s="97"/>
      <c r="K120" s="97"/>
      <c r="L120" s="97"/>
      <c r="M120" s="97"/>
      <c r="N120" s="97"/>
    </row>
    <row r="121" spans="2:14" x14ac:dyDescent="0.25">
      <c r="B121" s="97" t="s">
        <v>230</v>
      </c>
      <c r="F121" s="97" t="s">
        <v>231</v>
      </c>
      <c r="G121" s="97"/>
      <c r="H121" s="97"/>
      <c r="I121" s="97"/>
      <c r="J121" s="97"/>
      <c r="K121" s="97"/>
      <c r="L121" s="97"/>
      <c r="M121" s="97"/>
      <c r="N121" s="97"/>
    </row>
    <row r="122" spans="2:14" x14ac:dyDescent="0.25">
      <c r="G122" s="97"/>
      <c r="H122" s="97"/>
      <c r="I122" s="97"/>
      <c r="J122" s="97"/>
      <c r="K122" s="97"/>
      <c r="L122" s="97"/>
      <c r="M122" s="97"/>
      <c r="N122" s="97"/>
    </row>
  </sheetData>
  <sheetProtection algorithmName="SHA-512" hashValue="8WA8ZG8kng2Dwq1Ppmcu4/uqJXvXvVgSX8EOa6nLIuqaDjYftq9GfBQwBUvNCNEa9g7O80CTI5QvFTQ7nEMRpA==" saltValue="Vr4Zapio9pYpyIo12lbUAQ==" spinCount="100000" sheet="1" objects="1" scenarios="1"/>
  <mergeCells count="31">
    <mergeCell ref="G49:J49"/>
    <mergeCell ref="G39:J39"/>
    <mergeCell ref="G40:J40"/>
    <mergeCell ref="G41:J41"/>
    <mergeCell ref="R32:R33"/>
    <mergeCell ref="Q32:Q33"/>
    <mergeCell ref="G47:J47"/>
    <mergeCell ref="G48:J48"/>
    <mergeCell ref="N32:N33"/>
    <mergeCell ref="O32:O33"/>
    <mergeCell ref="P32:P33"/>
    <mergeCell ref="G42:J42"/>
    <mergeCell ref="G43:J43"/>
    <mergeCell ref="G44:J44"/>
    <mergeCell ref="G45:J45"/>
    <mergeCell ref="G46:J46"/>
    <mergeCell ref="B5:C5"/>
    <mergeCell ref="F5:M5"/>
    <mergeCell ref="K32:K33"/>
    <mergeCell ref="L32:L33"/>
    <mergeCell ref="M32:M33"/>
    <mergeCell ref="D28:E28"/>
    <mergeCell ref="G32:J32"/>
    <mergeCell ref="G33:J33"/>
    <mergeCell ref="J28:M28"/>
    <mergeCell ref="K47:Q47"/>
    <mergeCell ref="G34:J34"/>
    <mergeCell ref="G35:J35"/>
    <mergeCell ref="G36:J36"/>
    <mergeCell ref="G37:J37"/>
    <mergeCell ref="G38:J38"/>
  </mergeCells>
  <phoneticPr fontId="40" type="noConversion"/>
  <dataValidations count="4">
    <dataValidation type="list" allowBlank="1" showInputMessage="1" showErrorMessage="1" sqref="C13" xr:uid="{F8F4F47A-C18D-44F1-AE44-E878296EA767}">
      <formula1>Byggnadskategori</formula1>
    </dataValidation>
    <dataValidation type="list" allowBlank="1" showInputMessage="1" showErrorMessage="1" sqref="C14" xr:uid="{1841383A-C7C2-4A7E-95DD-88A6C7B3F747}">
      <formula1>Byggnadskomplexitet</formula1>
    </dataValidation>
    <dataValidation type="list" allowBlank="1" showInputMessage="1" showErrorMessage="1" sqref="C15" xr:uid="{6D0C6CC1-0B0F-4B30-A44D-B2E3C7D3EFCB}">
      <formula1>Byggnadstyp</formula1>
    </dataValidation>
    <dataValidation type="list" allowBlank="1" showInputMessage="1" showErrorMessage="1" sqref="D50" xr:uid="{15BEB716-5B24-4C6E-9497-8568E1B66C0D}">
      <formula1>BBRversion</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29" r:id="rId4" name="Kryssruta 20">
              <controlPr locked="0" defaultSize="0" autoFill="0" autoLine="0" autoPict="0">
                <anchor moveWithCells="1">
                  <from>
                    <xdr:col>6</xdr:col>
                    <xdr:colOff>85725</xdr:colOff>
                    <xdr:row>23</xdr:row>
                    <xdr:rowOff>200025</xdr:rowOff>
                  </from>
                  <to>
                    <xdr:col>6</xdr:col>
                    <xdr:colOff>552450</xdr:colOff>
                    <xdr:row>25</xdr:row>
                    <xdr:rowOff>9525</xdr:rowOff>
                  </to>
                </anchor>
              </controlPr>
            </control>
          </mc:Choice>
        </mc:AlternateContent>
        <mc:AlternateContent xmlns:mc="http://schemas.openxmlformats.org/markup-compatibility/2006">
          <mc:Choice Requires="x14">
            <control shapeId="71730" r:id="rId5" name="Check Box 50">
              <controlPr locked="0" defaultSize="0" autoFill="0" autoLine="0" autoPict="0">
                <anchor moveWithCells="1">
                  <from>
                    <xdr:col>6</xdr:col>
                    <xdr:colOff>85725</xdr:colOff>
                    <xdr:row>21</xdr:row>
                    <xdr:rowOff>171450</xdr:rowOff>
                  </from>
                  <to>
                    <xdr:col>6</xdr:col>
                    <xdr:colOff>409575</xdr:colOff>
                    <xdr:row>23</xdr:row>
                    <xdr:rowOff>57150</xdr:rowOff>
                  </to>
                </anchor>
              </controlPr>
            </control>
          </mc:Choice>
        </mc:AlternateContent>
        <mc:AlternateContent xmlns:mc="http://schemas.openxmlformats.org/markup-compatibility/2006">
          <mc:Choice Requires="x14">
            <control shapeId="71731" r:id="rId6" name="Check Box 51">
              <controlPr locked="0" defaultSize="0" autoFill="0" autoLine="0" autoPict="0">
                <anchor moveWithCells="1">
                  <from>
                    <xdr:col>6</xdr:col>
                    <xdr:colOff>104775</xdr:colOff>
                    <xdr:row>6</xdr:row>
                    <xdr:rowOff>200025</xdr:rowOff>
                  </from>
                  <to>
                    <xdr:col>7</xdr:col>
                    <xdr:colOff>228600</xdr:colOff>
                    <xdr:row>8</xdr:row>
                    <xdr:rowOff>9525</xdr:rowOff>
                  </to>
                </anchor>
              </controlPr>
            </control>
          </mc:Choice>
        </mc:AlternateContent>
        <mc:AlternateContent xmlns:mc="http://schemas.openxmlformats.org/markup-compatibility/2006">
          <mc:Choice Requires="x14">
            <control shapeId="71732" r:id="rId7" name="Check Box 52">
              <controlPr locked="0" defaultSize="0" autoFill="0" autoLine="0" autoPict="0">
                <anchor moveWithCells="1">
                  <from>
                    <xdr:col>6</xdr:col>
                    <xdr:colOff>57150</xdr:colOff>
                    <xdr:row>25</xdr:row>
                    <xdr:rowOff>190500</xdr:rowOff>
                  </from>
                  <to>
                    <xdr:col>8</xdr:col>
                    <xdr:colOff>409575</xdr:colOff>
                    <xdr:row>26</xdr:row>
                    <xdr:rowOff>209550</xdr:rowOff>
                  </to>
                </anchor>
              </controlPr>
            </control>
          </mc:Choice>
        </mc:AlternateContent>
        <mc:AlternateContent xmlns:mc="http://schemas.openxmlformats.org/markup-compatibility/2006">
          <mc:Choice Requires="x14">
            <control shapeId="71733" r:id="rId8" name="Check Box 53">
              <controlPr locked="0" defaultSize="0" autoFill="0" autoLine="0" autoPict="0">
                <anchor moveWithCells="1">
                  <from>
                    <xdr:col>6</xdr:col>
                    <xdr:colOff>66675</xdr:colOff>
                    <xdr:row>24</xdr:row>
                    <xdr:rowOff>180975</xdr:rowOff>
                  </from>
                  <to>
                    <xdr:col>7</xdr:col>
                    <xdr:colOff>647700</xdr:colOff>
                    <xdr:row>26</xdr:row>
                    <xdr:rowOff>28575</xdr:rowOff>
                  </to>
                </anchor>
              </controlPr>
            </control>
          </mc:Choice>
        </mc:AlternateContent>
        <mc:AlternateContent xmlns:mc="http://schemas.openxmlformats.org/markup-compatibility/2006">
          <mc:Choice Requires="x14">
            <control shapeId="71734" r:id="rId9" name="Check Box 54">
              <controlPr locked="0" defaultSize="0" autoFill="0" autoLine="0" autoPict="0">
                <anchor moveWithCells="1">
                  <from>
                    <xdr:col>6</xdr:col>
                    <xdr:colOff>104775</xdr:colOff>
                    <xdr:row>5</xdr:row>
                    <xdr:rowOff>0</xdr:rowOff>
                  </from>
                  <to>
                    <xdr:col>7</xdr:col>
                    <xdr:colOff>247650</xdr:colOff>
                    <xdr:row>6</xdr:row>
                    <xdr:rowOff>28575</xdr:rowOff>
                  </to>
                </anchor>
              </controlPr>
            </control>
          </mc:Choice>
        </mc:AlternateContent>
        <mc:AlternateContent xmlns:mc="http://schemas.openxmlformats.org/markup-compatibility/2006">
          <mc:Choice Requires="x14">
            <control shapeId="71735" r:id="rId10" name="Check Box 55">
              <controlPr locked="0" defaultSize="0" autoFill="0" autoLine="0" autoPict="0">
                <anchor moveWithCells="1">
                  <from>
                    <xdr:col>6</xdr:col>
                    <xdr:colOff>104775</xdr:colOff>
                    <xdr:row>6</xdr:row>
                    <xdr:rowOff>0</xdr:rowOff>
                  </from>
                  <to>
                    <xdr:col>7</xdr:col>
                    <xdr:colOff>180975</xdr:colOff>
                    <xdr:row>7</xdr:row>
                    <xdr:rowOff>0</xdr:rowOff>
                  </to>
                </anchor>
              </controlPr>
            </control>
          </mc:Choice>
        </mc:AlternateContent>
        <mc:AlternateContent xmlns:mc="http://schemas.openxmlformats.org/markup-compatibility/2006">
          <mc:Choice Requires="x14">
            <control shapeId="71736" r:id="rId11" name="Check Box 56">
              <controlPr locked="0" defaultSize="0" autoFill="0" autoLine="0" autoPict="0">
                <anchor moveWithCells="1">
                  <from>
                    <xdr:col>6</xdr:col>
                    <xdr:colOff>47625</xdr:colOff>
                    <xdr:row>26</xdr:row>
                    <xdr:rowOff>171450</xdr:rowOff>
                  </from>
                  <to>
                    <xdr:col>7</xdr:col>
                    <xdr:colOff>561975</xdr:colOff>
                    <xdr:row>27</xdr:row>
                    <xdr:rowOff>200025</xdr:rowOff>
                  </to>
                </anchor>
              </controlPr>
            </control>
          </mc:Choice>
        </mc:AlternateContent>
        <mc:AlternateContent xmlns:mc="http://schemas.openxmlformats.org/markup-compatibility/2006">
          <mc:Choice Requires="x14">
            <control shapeId="71737" r:id="rId12" name="Check Box 57">
              <controlPr locked="0" defaultSize="0" autoFill="0" autoLine="0" autoPict="0">
                <anchor moveWithCells="1">
                  <from>
                    <xdr:col>6</xdr:col>
                    <xdr:colOff>85725</xdr:colOff>
                    <xdr:row>17</xdr:row>
                    <xdr:rowOff>123825</xdr:rowOff>
                  </from>
                  <to>
                    <xdr:col>6</xdr:col>
                    <xdr:colOff>695325</xdr:colOff>
                    <xdr:row>19</xdr:row>
                    <xdr:rowOff>57150</xdr:rowOff>
                  </to>
                </anchor>
              </controlPr>
            </control>
          </mc:Choice>
        </mc:AlternateContent>
        <mc:AlternateContent xmlns:mc="http://schemas.openxmlformats.org/markup-compatibility/2006">
          <mc:Choice Requires="x14">
            <control shapeId="71738" r:id="rId13" name="Check Box 58">
              <controlPr locked="0" defaultSize="0" autoFill="0" autoLine="0" autoPict="0">
                <anchor moveWithCells="1">
                  <from>
                    <xdr:col>6</xdr:col>
                    <xdr:colOff>85725</xdr:colOff>
                    <xdr:row>18</xdr:row>
                    <xdr:rowOff>152400</xdr:rowOff>
                  </from>
                  <to>
                    <xdr:col>7</xdr:col>
                    <xdr:colOff>38100</xdr:colOff>
                    <xdr:row>19</xdr:row>
                    <xdr:rowOff>180975</xdr:rowOff>
                  </to>
                </anchor>
              </controlPr>
            </control>
          </mc:Choice>
        </mc:AlternateContent>
        <mc:AlternateContent xmlns:mc="http://schemas.openxmlformats.org/markup-compatibility/2006">
          <mc:Choice Requires="x14">
            <control shapeId="71739" r:id="rId14" name="Check Box 59">
              <controlPr locked="0" defaultSize="0" autoFill="0" autoLine="0" autoPict="0">
                <anchor moveWithCells="1">
                  <from>
                    <xdr:col>6</xdr:col>
                    <xdr:colOff>85725</xdr:colOff>
                    <xdr:row>19</xdr:row>
                    <xdr:rowOff>190500</xdr:rowOff>
                  </from>
                  <to>
                    <xdr:col>7</xdr:col>
                    <xdr:colOff>219075</xdr:colOff>
                    <xdr:row>20</xdr:row>
                    <xdr:rowOff>190500</xdr:rowOff>
                  </to>
                </anchor>
              </controlPr>
            </control>
          </mc:Choice>
        </mc:AlternateContent>
        <mc:AlternateContent xmlns:mc="http://schemas.openxmlformats.org/markup-compatibility/2006">
          <mc:Choice Requires="x14">
            <control shapeId="71740" r:id="rId15" name="Check Box 60">
              <controlPr locked="0" defaultSize="0" autoFill="0" autoLine="0" autoPict="0">
                <anchor moveWithCells="1">
                  <from>
                    <xdr:col>6</xdr:col>
                    <xdr:colOff>95250</xdr:colOff>
                    <xdr:row>10</xdr:row>
                    <xdr:rowOff>0</xdr:rowOff>
                  </from>
                  <to>
                    <xdr:col>8</xdr:col>
                    <xdr:colOff>28575</xdr:colOff>
                    <xdr:row>11</xdr:row>
                    <xdr:rowOff>28575</xdr:rowOff>
                  </to>
                </anchor>
              </controlPr>
            </control>
          </mc:Choice>
        </mc:AlternateContent>
        <mc:AlternateContent xmlns:mc="http://schemas.openxmlformats.org/markup-compatibility/2006">
          <mc:Choice Requires="x14">
            <control shapeId="71741" r:id="rId16" name="Check Box 61">
              <controlPr locked="0" defaultSize="0" autoFill="0" autoLine="0" autoPict="0">
                <anchor moveWithCells="1">
                  <from>
                    <xdr:col>6</xdr:col>
                    <xdr:colOff>95250</xdr:colOff>
                    <xdr:row>11</xdr:row>
                    <xdr:rowOff>190500</xdr:rowOff>
                  </from>
                  <to>
                    <xdr:col>8</xdr:col>
                    <xdr:colOff>409575</xdr:colOff>
                    <xdr:row>13</xdr:row>
                    <xdr:rowOff>9525</xdr:rowOff>
                  </to>
                </anchor>
              </controlPr>
            </control>
          </mc:Choice>
        </mc:AlternateContent>
        <mc:AlternateContent xmlns:mc="http://schemas.openxmlformats.org/markup-compatibility/2006">
          <mc:Choice Requires="x14">
            <control shapeId="71742" r:id="rId17" name="Check Box 62">
              <controlPr locked="0" defaultSize="0" autoFill="0" autoLine="0" autoPict="0">
                <anchor moveWithCells="1">
                  <from>
                    <xdr:col>6</xdr:col>
                    <xdr:colOff>95250</xdr:colOff>
                    <xdr:row>10</xdr:row>
                    <xdr:rowOff>171450</xdr:rowOff>
                  </from>
                  <to>
                    <xdr:col>8</xdr:col>
                    <xdr:colOff>609600</xdr:colOff>
                    <xdr:row>12</xdr:row>
                    <xdr:rowOff>9525</xdr:rowOff>
                  </to>
                </anchor>
              </controlPr>
            </control>
          </mc:Choice>
        </mc:AlternateContent>
        <mc:AlternateContent xmlns:mc="http://schemas.openxmlformats.org/markup-compatibility/2006">
          <mc:Choice Requires="x14">
            <control shapeId="71743" r:id="rId18" name="Check Box 63">
              <controlPr locked="0" defaultSize="0" autoFill="0" autoLine="0" autoPict="0">
                <anchor moveWithCells="1">
                  <from>
                    <xdr:col>6</xdr:col>
                    <xdr:colOff>95250</xdr:colOff>
                    <xdr:row>13</xdr:row>
                    <xdr:rowOff>0</xdr:rowOff>
                  </from>
                  <to>
                    <xdr:col>7</xdr:col>
                    <xdr:colOff>228600</xdr:colOff>
                    <xdr:row>14</xdr:row>
                    <xdr:rowOff>28575</xdr:rowOff>
                  </to>
                </anchor>
              </controlPr>
            </control>
          </mc:Choice>
        </mc:AlternateContent>
        <mc:AlternateContent xmlns:mc="http://schemas.openxmlformats.org/markup-compatibility/2006">
          <mc:Choice Requires="x14">
            <control shapeId="71744" r:id="rId19" name="Check Box 64">
              <controlPr locked="0" defaultSize="0" autoFill="0" autoLine="0" autoPict="0">
                <anchor moveWithCells="1">
                  <from>
                    <xdr:col>6</xdr:col>
                    <xdr:colOff>95250</xdr:colOff>
                    <xdr:row>13</xdr:row>
                    <xdr:rowOff>161925</xdr:rowOff>
                  </from>
                  <to>
                    <xdr:col>7</xdr:col>
                    <xdr:colOff>219075</xdr:colOff>
                    <xdr:row>15</xdr:row>
                    <xdr:rowOff>28575</xdr:rowOff>
                  </to>
                </anchor>
              </controlPr>
            </control>
          </mc:Choice>
        </mc:AlternateContent>
        <mc:AlternateContent xmlns:mc="http://schemas.openxmlformats.org/markup-compatibility/2006">
          <mc:Choice Requires="x14">
            <control shapeId="71745" r:id="rId20" name="Check Box 65">
              <controlPr locked="0" defaultSize="0" autoFill="0" autoLine="0" autoPict="0">
                <anchor moveWithCells="1">
                  <from>
                    <xdr:col>6</xdr:col>
                    <xdr:colOff>95250</xdr:colOff>
                    <xdr:row>14</xdr:row>
                    <xdr:rowOff>161925</xdr:rowOff>
                  </from>
                  <to>
                    <xdr:col>7</xdr:col>
                    <xdr:colOff>247650</xdr:colOff>
                    <xdr:row>16</xdr:row>
                    <xdr:rowOff>28575</xdr:rowOff>
                  </to>
                </anchor>
              </controlPr>
            </control>
          </mc:Choice>
        </mc:AlternateContent>
        <mc:AlternateContent xmlns:mc="http://schemas.openxmlformats.org/markup-compatibility/2006">
          <mc:Choice Requires="x14">
            <control shapeId="71746" r:id="rId21" name="Check Box 66">
              <controlPr locked="0" defaultSize="0" autoFill="0" autoLine="0" autoPict="0">
                <anchor moveWithCells="1">
                  <from>
                    <xdr:col>6</xdr:col>
                    <xdr:colOff>85725</xdr:colOff>
                    <xdr:row>15</xdr:row>
                    <xdr:rowOff>180975</xdr:rowOff>
                  </from>
                  <to>
                    <xdr:col>8</xdr:col>
                    <xdr:colOff>266700</xdr:colOff>
                    <xdr:row>17</xdr:row>
                    <xdr:rowOff>0</xdr:rowOff>
                  </to>
                </anchor>
              </controlPr>
            </control>
          </mc:Choice>
        </mc:AlternateContent>
        <mc:AlternateContent xmlns:mc="http://schemas.openxmlformats.org/markup-compatibility/2006">
          <mc:Choice Requires="x14">
            <control shapeId="71747" r:id="rId22" name="Check Box 67">
              <controlPr locked="0" defaultSize="0" autoFill="0" autoLine="0" autoPict="0">
                <anchor moveWithCells="1">
                  <from>
                    <xdr:col>6</xdr:col>
                    <xdr:colOff>104775</xdr:colOff>
                    <xdr:row>7</xdr:row>
                    <xdr:rowOff>180975</xdr:rowOff>
                  </from>
                  <to>
                    <xdr:col>8</xdr:col>
                    <xdr:colOff>57150</xdr:colOff>
                    <xdr:row>9</xdr:row>
                    <xdr:rowOff>28575</xdr:rowOff>
                  </to>
                </anchor>
              </controlPr>
            </control>
          </mc:Choice>
        </mc:AlternateContent>
        <mc:AlternateContent xmlns:mc="http://schemas.openxmlformats.org/markup-compatibility/2006">
          <mc:Choice Requires="x14">
            <control shapeId="71760" r:id="rId23" name="Check Box 80">
              <controlPr locked="0" defaultSize="0" autoFill="0" autoLine="0" autoPict="0">
                <anchor moveWithCells="1">
                  <from>
                    <xdr:col>6</xdr:col>
                    <xdr:colOff>76200</xdr:colOff>
                    <xdr:row>16</xdr:row>
                    <xdr:rowOff>190500</xdr:rowOff>
                  </from>
                  <to>
                    <xdr:col>8</xdr:col>
                    <xdr:colOff>323850</xdr:colOff>
                    <xdr:row>17</xdr:row>
                    <xdr:rowOff>180975</xdr:rowOff>
                  </to>
                </anchor>
              </controlPr>
            </control>
          </mc:Choice>
        </mc:AlternateContent>
        <mc:AlternateContent xmlns:mc="http://schemas.openxmlformats.org/markup-compatibility/2006">
          <mc:Choice Requires="x14">
            <control shapeId="71766" r:id="rId24" name="Check Box 86">
              <controlPr locked="0" defaultSize="0" autoFill="0" autoLine="0" autoPict="0">
                <anchor moveWithCells="1">
                  <from>
                    <xdr:col>6</xdr:col>
                    <xdr:colOff>85725</xdr:colOff>
                    <xdr:row>22</xdr:row>
                    <xdr:rowOff>171450</xdr:rowOff>
                  </from>
                  <to>
                    <xdr:col>6</xdr:col>
                    <xdr:colOff>409575</xdr:colOff>
                    <xdr:row>24</xdr:row>
                    <xdr:rowOff>38100</xdr:rowOff>
                  </to>
                </anchor>
              </controlPr>
            </control>
          </mc:Choice>
        </mc:AlternateContent>
        <mc:AlternateContent xmlns:mc="http://schemas.openxmlformats.org/markup-compatibility/2006">
          <mc:Choice Requires="x14">
            <control shapeId="71813" r:id="rId25" name="Check Box 133">
              <controlPr locked="0" defaultSize="0" autoFill="0" autoLine="0" autoPict="0">
                <anchor moveWithCells="1">
                  <from>
                    <xdr:col>6</xdr:col>
                    <xdr:colOff>95250</xdr:colOff>
                    <xdr:row>8</xdr:row>
                    <xdr:rowOff>190500</xdr:rowOff>
                  </from>
                  <to>
                    <xdr:col>9</xdr:col>
                    <xdr:colOff>171450</xdr:colOff>
                    <xdr:row>9</xdr:row>
                    <xdr:rowOff>190500</xdr:rowOff>
                  </to>
                </anchor>
              </controlPr>
            </control>
          </mc:Choice>
        </mc:AlternateContent>
        <mc:AlternateContent xmlns:mc="http://schemas.openxmlformats.org/markup-compatibility/2006">
          <mc:Choice Requires="x14">
            <control shapeId="71814" r:id="rId26" name="Check Box 134">
              <controlPr locked="0" defaultSize="0" autoFill="0" autoLine="0" autoPict="0">
                <anchor moveWithCells="1">
                  <from>
                    <xdr:col>6</xdr:col>
                    <xdr:colOff>85725</xdr:colOff>
                    <xdr:row>20</xdr:row>
                    <xdr:rowOff>200025</xdr:rowOff>
                  </from>
                  <to>
                    <xdr:col>7</xdr:col>
                    <xdr:colOff>219075</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F6D04DB-6400-4632-90BF-57CF6E8EF24F}">
          <x14:formula1>
            <xm:f>Fgeo!$G$3:$G$7</xm:f>
          </x14:formula1>
          <xm:sqref>J16 J8</xm:sqref>
        </x14:dataValidation>
        <x14:dataValidation type="list" allowBlank="1" showInputMessage="1" showErrorMessage="1" xr:uid="{AF7F0E33-7BBF-4240-A6EC-958275F1636A}">
          <x14:formula1>
            <xm:f>Fgeo!$E$3:$E$6</xm:f>
          </x14:formula1>
          <xm:sqref>M7 J7 M15 J15</xm:sqref>
        </x14:dataValidation>
        <x14:dataValidation type="list" allowBlank="1" showInputMessage="1" showErrorMessage="1" xr:uid="{0DB64429-FE1D-4F01-9577-28F40F604B8E}">
          <x14:formula1>
            <xm:f>Fgeo!$A$3:$A300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7165-6BD6-4E2C-A25A-78B0B7951FBB}">
  <sheetPr codeName="Blad2"/>
  <dimension ref="B1:L90"/>
  <sheetViews>
    <sheetView zoomScale="90" zoomScaleNormal="90" workbookViewId="0">
      <pane ySplit="3" topLeftCell="A4" activePane="bottomLeft" state="frozen"/>
      <selection pane="bottomLeft" activeCell="J11" sqref="J11"/>
    </sheetView>
  </sheetViews>
  <sheetFormatPr defaultColWidth="8.7109375" defaultRowHeight="15" x14ac:dyDescent="0.25"/>
  <cols>
    <col min="1" max="1" width="1.28515625" style="21" customWidth="1"/>
    <col min="2" max="2" width="19.7109375" style="21" customWidth="1"/>
    <col min="3" max="3" width="58" style="21" customWidth="1"/>
    <col min="4" max="6" width="20" style="21" customWidth="1"/>
    <col min="7" max="7" width="37.5703125" style="21" customWidth="1"/>
    <col min="8" max="8" width="8.7109375" style="21"/>
    <col min="9" max="9" width="13.42578125" style="21" customWidth="1"/>
    <col min="10" max="16384" width="8.7109375" style="21"/>
  </cols>
  <sheetData>
    <row r="1" spans="2:12" ht="56.25" customHeight="1" thickBot="1" x14ac:dyDescent="0.3">
      <c r="C1" s="86" t="s">
        <v>232</v>
      </c>
      <c r="E1" s="95"/>
    </row>
    <row r="2" spans="2:12" ht="24.75" customHeight="1" thickBot="1" x14ac:dyDescent="0.3">
      <c r="B2" s="1120" t="s">
        <v>233</v>
      </c>
      <c r="C2" s="1121"/>
      <c r="D2" s="1121"/>
      <c r="E2" s="1121"/>
      <c r="F2" s="1188"/>
      <c r="G2" s="204" t="s">
        <v>4</v>
      </c>
    </row>
    <row r="3" spans="2:12" ht="53.25" customHeight="1" thickBot="1" x14ac:dyDescent="0.3">
      <c r="B3" s="1165" t="s">
        <v>234</v>
      </c>
      <c r="C3" s="1183"/>
      <c r="D3" s="205" t="s">
        <v>235</v>
      </c>
      <c r="E3" s="953" t="s">
        <v>236</v>
      </c>
      <c r="F3" s="205" t="s">
        <v>237</v>
      </c>
      <c r="G3" s="206"/>
      <c r="H3" s="207"/>
    </row>
    <row r="4" spans="2:12" ht="15.75" customHeight="1" thickBot="1" x14ac:dyDescent="0.3">
      <c r="B4" s="208"/>
      <c r="C4" s="209"/>
      <c r="D4" s="1088" t="s">
        <v>238</v>
      </c>
      <c r="E4" s="1089" t="s">
        <v>238</v>
      </c>
      <c r="F4" s="1088" t="s">
        <v>238</v>
      </c>
      <c r="G4" s="210"/>
      <c r="H4" s="207"/>
    </row>
    <row r="5" spans="2:12" ht="15.75" customHeight="1" x14ac:dyDescent="0.25">
      <c r="B5" s="1189" t="s">
        <v>239</v>
      </c>
      <c r="C5" s="1190"/>
      <c r="D5" s="230"/>
      <c r="E5" s="954"/>
      <c r="F5" s="231"/>
      <c r="G5" s="232"/>
    </row>
    <row r="6" spans="2:12" ht="15.75" customHeight="1" x14ac:dyDescent="0.25">
      <c r="B6" s="1177" t="s">
        <v>240</v>
      </c>
      <c r="C6" s="1178"/>
      <c r="D6" s="233"/>
      <c r="E6" s="955"/>
      <c r="F6" s="234"/>
      <c r="G6" s="235"/>
    </row>
    <row r="7" spans="2:12" ht="15.75" customHeight="1" x14ac:dyDescent="0.25">
      <c r="B7" s="1177" t="s">
        <v>241</v>
      </c>
      <c r="C7" s="1178"/>
      <c r="D7" s="233"/>
      <c r="E7" s="955"/>
      <c r="F7" s="234"/>
      <c r="G7" s="235"/>
      <c r="H7" s="134"/>
    </row>
    <row r="8" spans="2:12" ht="15" customHeight="1" x14ac:dyDescent="0.25">
      <c r="B8" s="1177" t="s">
        <v>242</v>
      </c>
      <c r="C8" s="1178"/>
      <c r="D8" s="233"/>
      <c r="E8" s="955"/>
      <c r="F8" s="234"/>
      <c r="G8" s="235"/>
      <c r="H8" s="134"/>
    </row>
    <row r="9" spans="2:12" ht="15" customHeight="1" x14ac:dyDescent="0.25">
      <c r="B9" s="1177" t="s">
        <v>243</v>
      </c>
      <c r="C9" s="1178"/>
      <c r="D9" s="233"/>
      <c r="E9" s="955"/>
      <c r="F9" s="234"/>
      <c r="G9" s="235"/>
      <c r="H9" s="134"/>
    </row>
    <row r="10" spans="2:12" x14ac:dyDescent="0.25">
      <c r="B10" s="1179" t="s">
        <v>244</v>
      </c>
      <c r="C10" s="1180"/>
      <c r="D10" s="233"/>
      <c r="E10" s="955"/>
      <c r="F10" s="234"/>
      <c r="G10" s="235"/>
      <c r="H10" s="134"/>
      <c r="I10" s="134"/>
      <c r="J10" s="134"/>
      <c r="K10" s="134"/>
      <c r="L10" s="134"/>
    </row>
    <row r="11" spans="2:12" ht="15" customHeight="1" x14ac:dyDescent="0.25">
      <c r="B11" s="1179" t="s">
        <v>245</v>
      </c>
      <c r="C11" s="1180"/>
      <c r="D11" s="233"/>
      <c r="E11" s="955"/>
      <c r="F11" s="234"/>
      <c r="G11" s="235"/>
      <c r="H11" s="134"/>
    </row>
    <row r="12" spans="2:12" x14ac:dyDescent="0.25">
      <c r="B12" s="1179" t="s">
        <v>246</v>
      </c>
      <c r="C12" s="1180"/>
      <c r="D12" s="233"/>
      <c r="E12" s="955"/>
      <c r="F12" s="234"/>
      <c r="G12" s="235"/>
      <c r="H12" s="134"/>
    </row>
    <row r="13" spans="2:12" ht="15.75" customHeight="1" x14ac:dyDescent="0.25">
      <c r="B13" s="1177" t="s">
        <v>247</v>
      </c>
      <c r="C13" s="1178"/>
      <c r="D13" s="233"/>
      <c r="E13" s="955"/>
      <c r="F13" s="234"/>
      <c r="G13" s="235"/>
      <c r="H13" s="134"/>
    </row>
    <row r="14" spans="2:12" x14ac:dyDescent="0.25">
      <c r="B14" s="1179" t="s">
        <v>248</v>
      </c>
      <c r="C14" s="1180"/>
      <c r="D14" s="233"/>
      <c r="E14" s="955"/>
      <c r="F14" s="234"/>
      <c r="G14" s="235"/>
      <c r="H14" s="211"/>
    </row>
    <row r="15" spans="2:12" ht="15.75" customHeight="1" x14ac:dyDescent="0.25">
      <c r="B15" s="1177" t="s">
        <v>249</v>
      </c>
      <c r="C15" s="1178"/>
      <c r="D15" s="233"/>
      <c r="E15" s="955"/>
      <c r="F15" s="234"/>
      <c r="G15" s="235"/>
      <c r="H15" s="211"/>
    </row>
    <row r="16" spans="2:12" ht="15.75" customHeight="1" x14ac:dyDescent="0.25">
      <c r="B16" s="1179" t="s">
        <v>250</v>
      </c>
      <c r="C16" s="1180"/>
      <c r="D16" s="233"/>
      <c r="E16" s="955"/>
      <c r="F16" s="234"/>
      <c r="G16" s="235"/>
      <c r="H16" s="211"/>
    </row>
    <row r="17" spans="2:8" ht="15.75" customHeight="1" x14ac:dyDescent="0.25">
      <c r="B17" s="1177" t="s">
        <v>251</v>
      </c>
      <c r="C17" s="1178"/>
      <c r="D17" s="233"/>
      <c r="E17" s="955"/>
      <c r="F17" s="234"/>
      <c r="G17" s="235"/>
      <c r="H17" s="211"/>
    </row>
    <row r="18" spans="2:8" ht="15.75" customHeight="1" x14ac:dyDescent="0.25">
      <c r="B18" s="1179" t="s">
        <v>252</v>
      </c>
      <c r="C18" s="1180"/>
      <c r="D18" s="233" t="s">
        <v>19</v>
      </c>
      <c r="E18" s="955" t="s">
        <v>19</v>
      </c>
      <c r="F18" s="234"/>
      <c r="G18" s="235"/>
      <c r="H18" s="211"/>
    </row>
    <row r="19" spans="2:8" ht="18.75" customHeight="1" thickBot="1" x14ac:dyDescent="0.3">
      <c r="B19" s="1181" t="s">
        <v>253</v>
      </c>
      <c r="C19" s="1182"/>
      <c r="D19" s="236"/>
      <c r="E19" s="956"/>
      <c r="F19" s="237"/>
      <c r="G19" s="238"/>
      <c r="H19" s="124"/>
    </row>
    <row r="20" spans="2:8" ht="23.25" customHeight="1" thickBot="1" x14ac:dyDescent="0.3">
      <c r="B20" s="1165" t="s">
        <v>254</v>
      </c>
      <c r="C20" s="1183"/>
      <c r="D20" s="239"/>
      <c r="E20" s="957"/>
      <c r="F20" s="240"/>
      <c r="G20" s="241"/>
    </row>
    <row r="21" spans="2:8" ht="15.75" customHeight="1" x14ac:dyDescent="0.25">
      <c r="B21" s="1184" t="s">
        <v>255</v>
      </c>
      <c r="C21" s="1185"/>
      <c r="D21" s="242"/>
      <c r="E21" s="958" t="s">
        <v>19</v>
      </c>
      <c r="F21" s="243"/>
      <c r="G21" s="244"/>
      <c r="H21" s="134"/>
    </row>
    <row r="22" spans="2:8" ht="15.75" customHeight="1" thickBot="1" x14ac:dyDescent="0.3">
      <c r="B22" s="1186" t="s">
        <v>256</v>
      </c>
      <c r="C22" s="1187"/>
      <c r="D22" s="245" t="s">
        <v>19</v>
      </c>
      <c r="E22" s="959" t="s">
        <v>19</v>
      </c>
      <c r="F22" s="246"/>
      <c r="G22" s="238"/>
    </row>
    <row r="23" spans="2:8" ht="15.75" customHeight="1" thickBot="1" x14ac:dyDescent="0.3">
      <c r="B23" s="1175" t="s">
        <v>257</v>
      </c>
      <c r="C23" s="1176"/>
      <c r="D23" s="247"/>
      <c r="E23" s="960"/>
      <c r="F23" s="248"/>
      <c r="G23" s="249"/>
    </row>
    <row r="25" spans="2:8" ht="24.75" customHeight="1" thickBot="1" x14ac:dyDescent="0.35">
      <c r="B25" s="137" t="s">
        <v>258</v>
      </c>
    </row>
    <row r="26" spans="2:8" ht="52.5" customHeight="1" x14ac:dyDescent="0.25">
      <c r="C26" s="212"/>
      <c r="D26" s="213" t="str">
        <f>D3</f>
        <v>Beräknat före åtgärd</v>
      </c>
      <c r="E26" s="961" t="str">
        <f>E3</f>
        <v xml:space="preserve">Uppdaterat inför byggstart (frivilligt) </v>
      </c>
      <c r="F26" s="213" t="str">
        <f>F3</f>
        <v>Beräknat efter åtgärd</v>
      </c>
    </row>
    <row r="27" spans="2:8" ht="15.75" thickBot="1" x14ac:dyDescent="0.3">
      <c r="C27" s="214"/>
      <c r="D27" s="215" t="s">
        <v>238</v>
      </c>
      <c r="E27" s="962" t="s">
        <v>238</v>
      </c>
      <c r="F27" s="215" t="s">
        <v>238</v>
      </c>
    </row>
    <row r="28" spans="2:8" x14ac:dyDescent="0.25">
      <c r="C28" s="216" t="s">
        <v>259</v>
      </c>
      <c r="D28" s="250"/>
      <c r="E28" s="963"/>
      <c r="F28" s="250"/>
    </row>
    <row r="29" spans="2:8" x14ac:dyDescent="0.25">
      <c r="C29" s="217" t="s">
        <v>260</v>
      </c>
      <c r="D29" s="251"/>
      <c r="E29" s="964"/>
      <c r="F29" s="251"/>
    </row>
    <row r="30" spans="2:8" x14ac:dyDescent="0.25">
      <c r="C30" s="217" t="s">
        <v>261</v>
      </c>
      <c r="D30" s="251"/>
      <c r="E30" s="964"/>
      <c r="F30" s="251"/>
    </row>
    <row r="31" spans="2:8" ht="15.75" thickBot="1" x14ac:dyDescent="0.3">
      <c r="C31" s="218" t="s">
        <v>262</v>
      </c>
      <c r="D31" s="252"/>
      <c r="E31" s="965"/>
      <c r="F31" s="252"/>
    </row>
    <row r="32" spans="2:8" x14ac:dyDescent="0.25">
      <c r="C32" s="219" t="s">
        <v>263</v>
      </c>
      <c r="D32" s="253"/>
      <c r="E32" s="966"/>
      <c r="F32" s="253"/>
    </row>
    <row r="33" spans="3:6" x14ac:dyDescent="0.25">
      <c r="C33" s="220" t="s">
        <v>264</v>
      </c>
      <c r="D33" s="251"/>
      <c r="E33" s="964"/>
      <c r="F33" s="251"/>
    </row>
    <row r="34" spans="3:6" x14ac:dyDescent="0.25">
      <c r="C34" s="220" t="s">
        <v>265</v>
      </c>
      <c r="D34" s="251"/>
      <c r="E34" s="964"/>
      <c r="F34" s="251"/>
    </row>
    <row r="35" spans="3:6" ht="15.75" thickBot="1" x14ac:dyDescent="0.3">
      <c r="C35" s="221" t="s">
        <v>266</v>
      </c>
      <c r="D35" s="252"/>
      <c r="E35" s="965"/>
      <c r="F35" s="252"/>
    </row>
    <row r="36" spans="3:6" x14ac:dyDescent="0.25">
      <c r="C36" s="222" t="s">
        <v>267</v>
      </c>
      <c r="D36" s="253"/>
      <c r="E36" s="966"/>
      <c r="F36" s="253"/>
    </row>
    <row r="37" spans="3:6" x14ac:dyDescent="0.25">
      <c r="C37" s="223" t="s">
        <v>268</v>
      </c>
      <c r="D37" s="251"/>
      <c r="E37" s="964"/>
      <c r="F37" s="251"/>
    </row>
    <row r="38" spans="3:6" x14ac:dyDescent="0.25">
      <c r="C38" s="223" t="s">
        <v>269</v>
      </c>
      <c r="D38" s="251"/>
      <c r="E38" s="964"/>
      <c r="F38" s="251"/>
    </row>
    <row r="39" spans="3:6" ht="15.75" thickBot="1" x14ac:dyDescent="0.3">
      <c r="C39" s="224" t="s">
        <v>270</v>
      </c>
      <c r="D39" s="252"/>
      <c r="E39" s="965"/>
      <c r="F39" s="252"/>
    </row>
    <row r="40" spans="3:6" x14ac:dyDescent="0.25">
      <c r="C40" s="225" t="s">
        <v>246</v>
      </c>
      <c r="D40" s="254"/>
      <c r="E40" s="967"/>
      <c r="F40" s="254"/>
    </row>
    <row r="41" spans="3:6" x14ac:dyDescent="0.25">
      <c r="C41" s="226" t="s">
        <v>271</v>
      </c>
      <c r="D41" s="251"/>
      <c r="E41" s="964"/>
      <c r="F41" s="251"/>
    </row>
    <row r="42" spans="3:6" x14ac:dyDescent="0.25">
      <c r="C42" s="226" t="s">
        <v>272</v>
      </c>
      <c r="D42" s="251"/>
      <c r="E42" s="964"/>
      <c r="F42" s="251"/>
    </row>
    <row r="43" spans="3:6" x14ac:dyDescent="0.25">
      <c r="C43" s="226" t="s">
        <v>273</v>
      </c>
      <c r="D43" s="251"/>
      <c r="E43" s="964"/>
      <c r="F43" s="251"/>
    </row>
    <row r="44" spans="3:6" ht="15.75" thickBot="1" x14ac:dyDescent="0.3">
      <c r="C44" s="227" t="s">
        <v>274</v>
      </c>
      <c r="D44" s="252"/>
      <c r="E44" s="965"/>
      <c r="F44" s="252"/>
    </row>
    <row r="45" spans="3:6" x14ac:dyDescent="0.25">
      <c r="C45" s="228" t="s">
        <v>275</v>
      </c>
      <c r="D45" s="254"/>
      <c r="E45" s="967"/>
      <c r="F45" s="254"/>
    </row>
    <row r="46" spans="3:6" x14ac:dyDescent="0.25">
      <c r="C46" s="229" t="s">
        <v>276</v>
      </c>
      <c r="D46" s="251"/>
      <c r="E46" s="964"/>
      <c r="F46" s="251"/>
    </row>
    <row r="47" spans="3:6" x14ac:dyDescent="0.25">
      <c r="C47" s="229" t="s">
        <v>277</v>
      </c>
      <c r="D47" s="251"/>
      <c r="E47" s="964"/>
      <c r="F47" s="251"/>
    </row>
    <row r="48" spans="3:6" ht="15.75" thickBot="1" x14ac:dyDescent="0.3">
      <c r="C48" s="229" t="s">
        <v>278</v>
      </c>
      <c r="D48" s="251"/>
      <c r="E48" s="964"/>
      <c r="F48" s="251"/>
    </row>
    <row r="49" spans="3:6" ht="15.75" thickBot="1" x14ac:dyDescent="0.3">
      <c r="C49" s="255" t="s">
        <v>279</v>
      </c>
      <c r="D49" s="256">
        <f>SUM(D28:D48)</f>
        <v>0</v>
      </c>
      <c r="E49" s="968">
        <f>SUM(E28:E48)</f>
        <v>0</v>
      </c>
      <c r="F49" s="256">
        <f>SUM(F28:F48)</f>
        <v>0</v>
      </c>
    </row>
    <row r="57" spans="3:6" ht="16.5" customHeight="1" x14ac:dyDescent="0.25"/>
    <row r="71" ht="15" customHeight="1" x14ac:dyDescent="0.25"/>
    <row r="90" ht="17.25" customHeight="1" x14ac:dyDescent="0.25"/>
  </sheetData>
  <sheetProtection algorithmName="SHA-512" hashValue="xIEsOxeJ6ekW7A1FfkE0dw1OCy7wqWESOVKJ/kNgxaL4xLgXjWFykOBzcXlX/V91DVHNecwerFZ3cslzm1m21w==" saltValue="YCN1Bo16w4b5kBYhYwcb5g==" spinCount="100000" sheet="1" objects="1" scenarios="1"/>
  <mergeCells count="21">
    <mergeCell ref="B12:C12"/>
    <mergeCell ref="B13:C13"/>
    <mergeCell ref="B14:C14"/>
    <mergeCell ref="B11:C11"/>
    <mergeCell ref="B2:F2"/>
    <mergeCell ref="B3:C3"/>
    <mergeCell ref="B5:C5"/>
    <mergeCell ref="B6:C6"/>
    <mergeCell ref="B7:C7"/>
    <mergeCell ref="B8:C8"/>
    <mergeCell ref="B10:C10"/>
    <mergeCell ref="B9:C9"/>
    <mergeCell ref="B23:C23"/>
    <mergeCell ref="B15:C15"/>
    <mergeCell ref="B16:C16"/>
    <mergeCell ref="B17:C17"/>
    <mergeCell ref="B18:C18"/>
    <mergeCell ref="B19:C19"/>
    <mergeCell ref="B20:C20"/>
    <mergeCell ref="B21:C21"/>
    <mergeCell ref="B22:C2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4662-7774-4598-BAD3-9CD9D12BD136}">
  <sheetPr codeName="Blad7"/>
  <dimension ref="B1:L96"/>
  <sheetViews>
    <sheetView topLeftCell="A22" zoomScale="80" zoomScaleNormal="80" workbookViewId="0">
      <selection activeCell="G63" sqref="G63"/>
    </sheetView>
  </sheetViews>
  <sheetFormatPr defaultColWidth="8.7109375" defaultRowHeight="15" x14ac:dyDescent="0.25"/>
  <cols>
    <col min="1" max="1" width="1.42578125" style="21" customWidth="1"/>
    <col min="2" max="2" width="45.85546875" style="21" customWidth="1"/>
    <col min="3" max="4" width="13.5703125" style="21" customWidth="1"/>
    <col min="5" max="6" width="13.7109375" style="21" customWidth="1"/>
    <col min="7" max="7" width="13.5703125" style="21" customWidth="1"/>
    <col min="8" max="8" width="13.7109375" style="21" customWidth="1"/>
    <col min="9" max="9" width="41.140625" style="21" customWidth="1"/>
    <col min="10" max="11" width="13.5703125" style="21" customWidth="1"/>
    <col min="12" max="12" width="13.7109375" style="21" customWidth="1"/>
    <col min="13" max="16384" width="8.7109375" style="21"/>
  </cols>
  <sheetData>
    <row r="1" spans="2:10" ht="53.25" customHeight="1" x14ac:dyDescent="0.25">
      <c r="C1" s="86" t="s">
        <v>280</v>
      </c>
    </row>
    <row r="2" spans="2:10" ht="16.5" customHeight="1" thickBot="1" x14ac:dyDescent="0.3"/>
    <row r="3" spans="2:10" ht="24.75" customHeight="1" thickBot="1" x14ac:dyDescent="0.3">
      <c r="B3" s="1120" t="s">
        <v>281</v>
      </c>
      <c r="C3" s="1121"/>
      <c r="D3" s="1121"/>
      <c r="E3" s="1121"/>
      <c r="F3" s="1121"/>
      <c r="G3" s="1121"/>
      <c r="H3" s="1238"/>
      <c r="I3" s="204" t="s">
        <v>4</v>
      </c>
    </row>
    <row r="4" spans="2:10" ht="15.75" customHeight="1" thickBot="1" x14ac:dyDescent="0.3">
      <c r="B4" s="257"/>
      <c r="C4" s="1198" t="s">
        <v>282</v>
      </c>
      <c r="D4" s="1239"/>
      <c r="E4" s="1240"/>
      <c r="F4" s="1198" t="s">
        <v>10</v>
      </c>
      <c r="G4" s="1239"/>
      <c r="H4" s="1240"/>
      <c r="I4" s="206"/>
    </row>
    <row r="5" spans="2:10" ht="30" customHeight="1" thickBot="1" x14ac:dyDescent="0.3">
      <c r="B5" s="258" t="s">
        <v>283</v>
      </c>
      <c r="C5" s="259" t="s">
        <v>284</v>
      </c>
      <c r="D5" s="260" t="s">
        <v>285</v>
      </c>
      <c r="E5" s="261" t="s">
        <v>286</v>
      </c>
      <c r="F5" s="262" t="s">
        <v>284</v>
      </c>
      <c r="G5" s="260" t="s">
        <v>285</v>
      </c>
      <c r="H5" s="263" t="str">
        <f>E5</f>
        <v>U*A, W/K</v>
      </c>
      <c r="I5" s="264"/>
    </row>
    <row r="6" spans="2:10" ht="15.75" hidden="1" customHeight="1" thickBot="1" x14ac:dyDescent="0.3">
      <c r="B6" s="1019" t="s">
        <v>287</v>
      </c>
      <c r="C6" s="1020" t="s">
        <v>288</v>
      </c>
      <c r="D6" s="1021" t="s">
        <v>289</v>
      </c>
      <c r="E6" s="1022" t="s">
        <v>290</v>
      </c>
      <c r="F6" s="1023" t="s">
        <v>291</v>
      </c>
      <c r="G6" s="1024" t="s">
        <v>292</v>
      </c>
      <c r="H6" s="1022" t="s">
        <v>293</v>
      </c>
      <c r="I6" s="1025" t="s">
        <v>294</v>
      </c>
    </row>
    <row r="7" spans="2:10" ht="15.75" customHeight="1" x14ac:dyDescent="0.25">
      <c r="B7" s="1015" t="s">
        <v>295</v>
      </c>
      <c r="C7" s="332"/>
      <c r="D7" s="333"/>
      <c r="E7" s="266">
        <f>Table2[[#This Row],[U-värde, före]]*Table2[[#This Row],[Area, före]]</f>
        <v>0</v>
      </c>
      <c r="F7" s="336"/>
      <c r="G7" s="337"/>
      <c r="H7" s="266">
        <f>Table2[[#This Row],[U-värde, efter]]*Table2[[#This Row],[Area, efter]]</f>
        <v>0</v>
      </c>
      <c r="I7" s="1016"/>
    </row>
    <row r="8" spans="2:10" ht="15.75" customHeight="1" x14ac:dyDescent="0.25">
      <c r="B8" s="1007" t="s">
        <v>296</v>
      </c>
      <c r="C8" s="334"/>
      <c r="D8" s="335"/>
      <c r="E8" s="268">
        <f>Table2[[#This Row],[U-värde, före]]*Table2[[#This Row],[Area, före]]</f>
        <v>0</v>
      </c>
      <c r="F8" s="338"/>
      <c r="G8" s="339"/>
      <c r="H8" s="268">
        <f>Table2[[#This Row],[U-värde, efter]]*Table2[[#This Row],[Area, efter]]</f>
        <v>0</v>
      </c>
      <c r="I8" s="1017"/>
    </row>
    <row r="9" spans="2:10" ht="15.75" customHeight="1" x14ac:dyDescent="0.25">
      <c r="B9" s="1007" t="s">
        <v>297</v>
      </c>
      <c r="C9" s="334"/>
      <c r="D9" s="335"/>
      <c r="E9" s="269">
        <f>Table2[[#This Row],[U-värde, före]]*Table2[[#This Row],[Area, före]]</f>
        <v>0</v>
      </c>
      <c r="F9" s="338"/>
      <c r="G9" s="339"/>
      <c r="H9" s="269">
        <f>Table2[[#This Row],[U-värde, efter]]*Table2[[#This Row],[Area, efter]]</f>
        <v>0</v>
      </c>
      <c r="I9" s="1017"/>
    </row>
    <row r="10" spans="2:10" ht="15.75" customHeight="1" x14ac:dyDescent="0.25">
      <c r="B10" s="1007" t="s">
        <v>298</v>
      </c>
      <c r="C10" s="334"/>
      <c r="D10" s="335"/>
      <c r="E10" s="269">
        <f>Table2[[#This Row],[U-värde, före]]*Table2[[#This Row],[Area, före]]</f>
        <v>0</v>
      </c>
      <c r="F10" s="338"/>
      <c r="G10" s="339"/>
      <c r="H10" s="269">
        <f>Table2[[#This Row],[U-värde, efter]]*Table2[[#This Row],[Area, efter]]</f>
        <v>0</v>
      </c>
      <c r="I10" s="1017"/>
    </row>
    <row r="11" spans="2:10" x14ac:dyDescent="0.25">
      <c r="B11" s="1007" t="s">
        <v>299</v>
      </c>
      <c r="C11" s="334"/>
      <c r="D11" s="335"/>
      <c r="E11" s="269">
        <f>Table2[[#This Row],[U-värde, före]]*Table2[[#This Row],[Area, före]]</f>
        <v>0</v>
      </c>
      <c r="F11" s="338"/>
      <c r="G11" s="339"/>
      <c r="H11" s="269">
        <f>Table2[[#This Row],[U-värde, efter]]*Table2[[#This Row],[Area, efter]]</f>
        <v>0</v>
      </c>
      <c r="I11" s="1017"/>
    </row>
    <row r="12" spans="2:10" x14ac:dyDescent="0.25">
      <c r="B12" s="1007" t="s">
        <v>300</v>
      </c>
      <c r="C12" s="334"/>
      <c r="D12" s="335"/>
      <c r="E12" s="269">
        <f>Table2[[#This Row],[U-värde, före]]*Table2[[#This Row],[Area, före]]</f>
        <v>0</v>
      </c>
      <c r="F12" s="338"/>
      <c r="G12" s="339"/>
      <c r="H12" s="269">
        <f>Table2[[#This Row],[U-värde, efter]]*Table2[[#This Row],[Area, efter]]</f>
        <v>0</v>
      </c>
      <c r="I12" s="1017"/>
    </row>
    <row r="13" spans="2:10" x14ac:dyDescent="0.25">
      <c r="B13" s="1007" t="s">
        <v>301</v>
      </c>
      <c r="C13" s="334"/>
      <c r="D13" s="335"/>
      <c r="E13" s="269">
        <f>Table2[[#This Row],[U-värde, före]]*Table2[[#This Row],[Area, före]]</f>
        <v>0</v>
      </c>
      <c r="F13" s="338"/>
      <c r="G13" s="339"/>
      <c r="H13" s="269">
        <f>Table2[[#This Row],[U-värde, efter]]*Table2[[#This Row],[Area, efter]]</f>
        <v>0</v>
      </c>
      <c r="I13" s="1017"/>
      <c r="J13" s="95"/>
    </row>
    <row r="14" spans="2:10" x14ac:dyDescent="0.25">
      <c r="B14" s="1007" t="s">
        <v>302</v>
      </c>
      <c r="C14" s="334"/>
      <c r="D14" s="335"/>
      <c r="E14" s="269">
        <f>Table2[[#This Row],[U-värde, före]]*Table2[[#This Row],[Area, före]]</f>
        <v>0</v>
      </c>
      <c r="F14" s="338"/>
      <c r="G14" s="339"/>
      <c r="H14" s="269">
        <f>Table2[[#This Row],[U-värde, efter]]*Table2[[#This Row],[Area, efter]]</f>
        <v>0</v>
      </c>
      <c r="I14" s="1017"/>
      <c r="J14" s="124"/>
    </row>
    <row r="15" spans="2:10" x14ac:dyDescent="0.25">
      <c r="B15" s="1007" t="s">
        <v>303</v>
      </c>
      <c r="C15" s="334"/>
      <c r="D15" s="335"/>
      <c r="E15" s="269">
        <f>Table2[[#This Row],[U-värde, före]]*Table2[[#This Row],[Area, före]]</f>
        <v>0</v>
      </c>
      <c r="F15" s="338"/>
      <c r="G15" s="339"/>
      <c r="H15" s="269">
        <f>Table2[[#This Row],[U-värde, efter]]*Table2[[#This Row],[Area, efter]]</f>
        <v>0</v>
      </c>
      <c r="I15" s="1017"/>
      <c r="J15" s="124"/>
    </row>
    <row r="16" spans="2:10" x14ac:dyDescent="0.25">
      <c r="B16" s="1007" t="s">
        <v>304</v>
      </c>
      <c r="C16" s="334"/>
      <c r="D16" s="335"/>
      <c r="E16" s="269">
        <f>Table2[[#This Row],[U-värde, före]]*Table2[[#This Row],[Area, före]]</f>
        <v>0</v>
      </c>
      <c r="F16" s="338"/>
      <c r="G16" s="339"/>
      <c r="H16" s="269">
        <f>Table2[[#This Row],[U-värde, efter]]*Table2[[#This Row],[Area, efter]]</f>
        <v>0</v>
      </c>
      <c r="I16" s="1018"/>
      <c r="J16" s="124"/>
    </row>
    <row r="17" spans="2:10" ht="15.75" customHeight="1" x14ac:dyDescent="0.25">
      <c r="B17" s="1027" t="s">
        <v>305</v>
      </c>
      <c r="C17" s="1010"/>
      <c r="D17" s="1011"/>
      <c r="E17" s="1012">
        <f>Table2[[#This Row],[U-värde, före]]*Table2[[#This Row],[Area, före]]</f>
        <v>0</v>
      </c>
      <c r="F17" s="1013"/>
      <c r="G17" s="1014"/>
      <c r="H17" s="1012">
        <f>Table2[[#This Row],[U-värde, efter]]*Table2[[#This Row],[Area, efter]]</f>
        <v>0</v>
      </c>
      <c r="I17" s="1026"/>
      <c r="J17" s="95"/>
    </row>
    <row r="18" spans="2:10" ht="30" customHeight="1" thickBot="1" x14ac:dyDescent="0.3">
      <c r="B18" s="271" t="s">
        <v>306</v>
      </c>
      <c r="C18" s="272" t="s">
        <v>307</v>
      </c>
      <c r="D18" s="273">
        <f>SUM(D7:D17)</f>
        <v>0</v>
      </c>
      <c r="E18" s="274">
        <f>SUM(E7:E17)</f>
        <v>0</v>
      </c>
      <c r="F18" s="275"/>
      <c r="G18" s="273">
        <f>SUM(G7:G17)</f>
        <v>0</v>
      </c>
      <c r="H18" s="276">
        <f>SUM(H7:H17)</f>
        <v>0</v>
      </c>
      <c r="I18" s="344"/>
      <c r="J18" s="124"/>
    </row>
    <row r="19" spans="2:10" ht="33" customHeight="1" thickBot="1" x14ac:dyDescent="0.3">
      <c r="B19" s="277" t="s">
        <v>308</v>
      </c>
      <c r="C19" s="278" t="s">
        <v>309</v>
      </c>
      <c r="D19" s="260" t="s">
        <v>310</v>
      </c>
      <c r="E19" s="263" t="s">
        <v>311</v>
      </c>
      <c r="F19" s="262" t="str">
        <f>C19</f>
        <v>Ψ- värde W/m,K</v>
      </c>
      <c r="G19" s="279" t="str">
        <f>D19</f>
        <v>Längd, m</v>
      </c>
      <c r="H19" s="263" t="str">
        <f>E19</f>
        <v>Χ-värde, W/K</v>
      </c>
      <c r="I19" s="264"/>
      <c r="J19" s="95"/>
    </row>
    <row r="20" spans="2:10" ht="15.75" customHeight="1" x14ac:dyDescent="0.25">
      <c r="B20" s="265" t="s">
        <v>312</v>
      </c>
      <c r="C20" s="332"/>
      <c r="D20" s="333"/>
      <c r="E20" s="280">
        <f t="shared" ref="E20:E26" si="0">C20*D20</f>
        <v>0</v>
      </c>
      <c r="F20" s="346"/>
      <c r="G20" s="347"/>
      <c r="H20" s="281">
        <f>F20*G20</f>
        <v>0</v>
      </c>
      <c r="I20" s="351"/>
    </row>
    <row r="21" spans="2:10" ht="15.75" customHeight="1" x14ac:dyDescent="0.25">
      <c r="B21" s="267" t="s">
        <v>313</v>
      </c>
      <c r="C21" s="334"/>
      <c r="D21" s="335"/>
      <c r="E21" s="269">
        <f t="shared" si="0"/>
        <v>0</v>
      </c>
      <c r="F21" s="348"/>
      <c r="G21" s="349"/>
      <c r="H21" s="282">
        <f t="shared" ref="H21:H26" si="1">F21*G21</f>
        <v>0</v>
      </c>
      <c r="I21" s="342"/>
    </row>
    <row r="22" spans="2:10" ht="15.75" customHeight="1" x14ac:dyDescent="0.25">
      <c r="B22" s="267" t="s">
        <v>314</v>
      </c>
      <c r="C22" s="334"/>
      <c r="D22" s="335"/>
      <c r="E22" s="269">
        <f t="shared" si="0"/>
        <v>0</v>
      </c>
      <c r="F22" s="348"/>
      <c r="G22" s="349"/>
      <c r="H22" s="282">
        <f t="shared" si="1"/>
        <v>0</v>
      </c>
      <c r="I22" s="342"/>
    </row>
    <row r="23" spans="2:10" ht="15.75" customHeight="1" x14ac:dyDescent="0.25">
      <c r="B23" s="267" t="s">
        <v>315</v>
      </c>
      <c r="C23" s="334"/>
      <c r="D23" s="335"/>
      <c r="E23" s="269">
        <f t="shared" si="0"/>
        <v>0</v>
      </c>
      <c r="F23" s="348"/>
      <c r="G23" s="349"/>
      <c r="H23" s="282">
        <f t="shared" si="1"/>
        <v>0</v>
      </c>
      <c r="I23" s="342"/>
    </row>
    <row r="24" spans="2:10" ht="15.75" customHeight="1" x14ac:dyDescent="0.25">
      <c r="B24" s="267" t="s">
        <v>316</v>
      </c>
      <c r="C24" s="334"/>
      <c r="D24" s="335"/>
      <c r="E24" s="269">
        <f t="shared" si="0"/>
        <v>0</v>
      </c>
      <c r="F24" s="348"/>
      <c r="G24" s="349"/>
      <c r="H24" s="282">
        <f t="shared" si="1"/>
        <v>0</v>
      </c>
      <c r="I24" s="342"/>
    </row>
    <row r="25" spans="2:10" ht="15.75" customHeight="1" x14ac:dyDescent="0.25">
      <c r="B25" s="267" t="s">
        <v>317</v>
      </c>
      <c r="C25" s="334"/>
      <c r="D25" s="335"/>
      <c r="E25" s="269">
        <f t="shared" si="0"/>
        <v>0</v>
      </c>
      <c r="F25" s="348"/>
      <c r="G25" s="349"/>
      <c r="H25" s="282">
        <f t="shared" si="1"/>
        <v>0</v>
      </c>
      <c r="I25" s="342"/>
    </row>
    <row r="26" spans="2:10" ht="15.75" customHeight="1" x14ac:dyDescent="0.25">
      <c r="B26" s="267" t="s">
        <v>318</v>
      </c>
      <c r="C26" s="334"/>
      <c r="D26" s="335"/>
      <c r="E26" s="269">
        <f t="shared" si="0"/>
        <v>0</v>
      </c>
      <c r="F26" s="348"/>
      <c r="G26" s="349"/>
      <c r="H26" s="282">
        <f t="shared" si="1"/>
        <v>0</v>
      </c>
      <c r="I26" s="342"/>
    </row>
    <row r="27" spans="2:10" ht="15.75" thickBot="1" x14ac:dyDescent="0.3">
      <c r="B27" s="270" t="s">
        <v>319</v>
      </c>
      <c r="C27" s="283"/>
      <c r="D27" s="284"/>
      <c r="E27" s="345"/>
      <c r="F27" s="285"/>
      <c r="G27" s="286"/>
      <c r="H27" s="350"/>
      <c r="I27" s="342"/>
    </row>
    <row r="28" spans="2:10" ht="0.75" customHeight="1" thickBot="1" x14ac:dyDescent="0.3">
      <c r="B28" s="287" t="s">
        <v>320</v>
      </c>
      <c r="C28" s="288"/>
      <c r="D28" s="289"/>
      <c r="E28" s="290">
        <f>SUM(E20:E27)</f>
        <v>0</v>
      </c>
      <c r="F28" s="291"/>
      <c r="G28" s="292"/>
      <c r="H28" s="293">
        <f>SUM(H20:H27)</f>
        <v>0</v>
      </c>
      <c r="I28" s="343"/>
    </row>
    <row r="29" spans="2:10" ht="15.75" customHeight="1" thickBot="1" x14ac:dyDescent="0.3">
      <c r="B29" s="294"/>
      <c r="C29" s="295"/>
      <c r="D29" s="296"/>
      <c r="E29" s="297"/>
      <c r="F29" s="291"/>
      <c r="G29" s="298"/>
      <c r="H29" s="299"/>
      <c r="I29" s="352"/>
    </row>
    <row r="30" spans="2:10" ht="15.75" customHeight="1" thickBot="1" x14ac:dyDescent="0.3">
      <c r="B30" s="300" t="s">
        <v>321</v>
      </c>
      <c r="C30" s="301">
        <f>IF(D18=0,0,(E18+E28)/D18)</f>
        <v>0</v>
      </c>
      <c r="D30" s="302" t="s">
        <v>322</v>
      </c>
      <c r="E30" s="303"/>
      <c r="F30" s="304">
        <f>IF(G18=0,0,(H18+H28)/G18)</f>
        <v>0</v>
      </c>
      <c r="G30" s="305"/>
      <c r="H30" s="354"/>
      <c r="I30" s="353"/>
    </row>
    <row r="31" spans="2:10" ht="15.75" customHeight="1" thickBot="1" x14ac:dyDescent="0.35">
      <c r="B31" s="306" t="s">
        <v>323</v>
      </c>
      <c r="C31" s="307">
        <f>IFERROR(D18/'A. Byggnadsinfo med BBR'!D43,0)</f>
        <v>0</v>
      </c>
      <c r="D31" s="308" t="s">
        <v>322</v>
      </c>
      <c r="E31" s="305"/>
      <c r="F31" s="307">
        <f>IFERROR(G18/'A. Byggnadsinfo med BBR'!E43,0)</f>
        <v>0</v>
      </c>
      <c r="G31" s="309"/>
      <c r="H31" s="353"/>
      <c r="I31" s="353"/>
    </row>
    <row r="32" spans="2:10" ht="16.5" thickBot="1" x14ac:dyDescent="0.3">
      <c r="B32" s="310" t="s">
        <v>324</v>
      </c>
      <c r="C32" s="355"/>
      <c r="D32" s="311"/>
      <c r="E32" s="312"/>
      <c r="F32" s="312"/>
      <c r="G32" s="313"/>
      <c r="H32" s="355"/>
      <c r="I32" s="353"/>
    </row>
    <row r="33" spans="2:12" ht="15.75" customHeight="1" x14ac:dyDescent="0.25">
      <c r="J33" s="95"/>
      <c r="K33" s="95"/>
      <c r="L33" s="95"/>
    </row>
    <row r="34" spans="2:12" ht="19.5" customHeight="1" thickBot="1" x14ac:dyDescent="0.3">
      <c r="J34" s="122"/>
      <c r="K34" s="95"/>
      <c r="L34" s="95"/>
    </row>
    <row r="35" spans="2:12" ht="15.75" customHeight="1" thickBot="1" x14ac:dyDescent="0.3">
      <c r="B35" s="1120" t="s">
        <v>325</v>
      </c>
      <c r="C35" s="1121"/>
      <c r="D35" s="1121"/>
      <c r="E35" s="1121"/>
      <c r="F35" s="1121"/>
      <c r="G35" s="1121"/>
      <c r="H35" s="1238"/>
      <c r="I35" s="204" t="s">
        <v>4</v>
      </c>
      <c r="J35" s="95"/>
      <c r="K35" s="95"/>
      <c r="L35" s="95"/>
    </row>
    <row r="36" spans="2:12" ht="16.5" thickBot="1" x14ac:dyDescent="0.3">
      <c r="B36" s="206"/>
      <c r="C36" s="1198" t="s">
        <v>282</v>
      </c>
      <c r="D36" s="1239"/>
      <c r="E36" s="1240"/>
      <c r="F36" s="1198" t="s">
        <v>10</v>
      </c>
      <c r="G36" s="1239"/>
      <c r="H36" s="1240"/>
      <c r="I36" s="206"/>
      <c r="K36" s="95"/>
      <c r="L36" s="95"/>
    </row>
    <row r="37" spans="2:12" x14ac:dyDescent="0.25">
      <c r="B37" s="265" t="s">
        <v>326</v>
      </c>
      <c r="C37" s="1212" t="s">
        <v>19</v>
      </c>
      <c r="D37" s="1213"/>
      <c r="E37" s="1214"/>
      <c r="F37" s="1244" t="s">
        <v>19</v>
      </c>
      <c r="G37" s="1245"/>
      <c r="H37" s="1246"/>
      <c r="I37" s="340"/>
      <c r="K37" s="95"/>
      <c r="L37" s="95"/>
    </row>
    <row r="38" spans="2:12" x14ac:dyDescent="0.25">
      <c r="B38" s="267" t="s">
        <v>327</v>
      </c>
      <c r="C38" s="1215" t="s">
        <v>19</v>
      </c>
      <c r="D38" s="1216"/>
      <c r="E38" s="1217"/>
      <c r="F38" s="1247" t="s">
        <v>19</v>
      </c>
      <c r="G38" s="1248"/>
      <c r="H38" s="1249"/>
      <c r="I38" s="341"/>
      <c r="J38" s="122"/>
      <c r="K38" s="95"/>
      <c r="L38" s="95"/>
    </row>
    <row r="39" spans="2:12" x14ac:dyDescent="0.25">
      <c r="B39" s="267" t="s">
        <v>328</v>
      </c>
      <c r="C39" s="1218" t="s">
        <v>19</v>
      </c>
      <c r="D39" s="1219"/>
      <c r="E39" s="1220"/>
      <c r="F39" s="1247" t="s">
        <v>19</v>
      </c>
      <c r="G39" s="1248"/>
      <c r="H39" s="1249"/>
      <c r="I39" s="341"/>
      <c r="J39" s="122"/>
      <c r="K39" s="95"/>
      <c r="L39" s="95"/>
    </row>
    <row r="40" spans="2:12" x14ac:dyDescent="0.25">
      <c r="B40" s="267" t="s">
        <v>329</v>
      </c>
      <c r="C40" s="1218" t="s">
        <v>19</v>
      </c>
      <c r="D40" s="1219"/>
      <c r="E40" s="1220"/>
      <c r="F40" s="1247" t="s">
        <v>19</v>
      </c>
      <c r="G40" s="1248"/>
      <c r="H40" s="1249"/>
      <c r="I40" s="341"/>
      <c r="J40" s="127"/>
    </row>
    <row r="41" spans="2:12" x14ac:dyDescent="0.25">
      <c r="B41" s="267" t="s">
        <v>330</v>
      </c>
      <c r="C41" s="1218"/>
      <c r="D41" s="1236"/>
      <c r="E41" s="1237"/>
      <c r="F41" s="1218"/>
      <c r="G41" s="1236"/>
      <c r="H41" s="1237"/>
      <c r="I41" s="341"/>
      <c r="J41" s="127"/>
    </row>
    <row r="42" spans="2:12" x14ac:dyDescent="0.25">
      <c r="B42" s="267" t="s">
        <v>331</v>
      </c>
      <c r="C42" s="1215" t="s">
        <v>19</v>
      </c>
      <c r="D42" s="1216"/>
      <c r="E42" s="1217"/>
      <c r="F42" s="1247" t="s">
        <v>19</v>
      </c>
      <c r="G42" s="1248"/>
      <c r="H42" s="1249"/>
      <c r="I42" s="341"/>
      <c r="J42" s="95"/>
      <c r="K42" s="134"/>
    </row>
    <row r="43" spans="2:12" ht="15.75" customHeight="1" thickBot="1" x14ac:dyDescent="0.3">
      <c r="B43" s="294" t="s">
        <v>332</v>
      </c>
      <c r="C43" s="1241" t="s">
        <v>19</v>
      </c>
      <c r="D43" s="1242"/>
      <c r="E43" s="1243"/>
      <c r="F43" s="1230" t="s">
        <v>19</v>
      </c>
      <c r="G43" s="1231"/>
      <c r="H43" s="1232"/>
      <c r="I43" s="356"/>
      <c r="K43" s="134"/>
    </row>
    <row r="44" spans="2:12" ht="22.5" customHeight="1" thickBot="1" x14ac:dyDescent="0.3">
      <c r="K44" s="134"/>
    </row>
    <row r="45" spans="2:12" ht="15.75" customHeight="1" thickBot="1" x14ac:dyDescent="0.3">
      <c r="B45" s="111" t="s">
        <v>333</v>
      </c>
      <c r="C45" s="314"/>
      <c r="D45" s="314"/>
      <c r="E45" s="314"/>
      <c r="F45" s="314"/>
      <c r="G45" s="314"/>
      <c r="H45" s="204"/>
      <c r="I45" s="204" t="s">
        <v>4</v>
      </c>
    </row>
    <row r="46" spans="2:12" ht="15.75" customHeight="1" thickBot="1" x14ac:dyDescent="0.35">
      <c r="B46" s="315"/>
      <c r="C46" s="1233" t="str">
        <f>C36</f>
        <v>Före åtgärd</v>
      </c>
      <c r="D46" s="1234"/>
      <c r="E46" s="1235"/>
      <c r="F46" s="1221" t="str">
        <f>F36</f>
        <v>Efter renovering</v>
      </c>
      <c r="G46" s="1222"/>
      <c r="H46" s="1223"/>
      <c r="I46" s="206"/>
    </row>
    <row r="47" spans="2:12" ht="15.75" customHeight="1" x14ac:dyDescent="0.3">
      <c r="B47" s="265" t="s">
        <v>334</v>
      </c>
      <c r="C47" s="1227" t="s">
        <v>19</v>
      </c>
      <c r="D47" s="1228"/>
      <c r="E47" s="1229"/>
      <c r="F47" s="1224" t="str">
        <f>F37</f>
        <v>     </v>
      </c>
      <c r="G47" s="1225"/>
      <c r="H47" s="1226"/>
      <c r="I47" s="340"/>
      <c r="J47" s="122"/>
    </row>
    <row r="48" spans="2:12" ht="15.75" customHeight="1" x14ac:dyDescent="0.3">
      <c r="B48" s="267" t="s">
        <v>335</v>
      </c>
      <c r="C48" s="1191" t="s">
        <v>19</v>
      </c>
      <c r="D48" s="1192"/>
      <c r="E48" s="1193"/>
      <c r="F48" s="1209" t="str">
        <f>F38</f>
        <v>     </v>
      </c>
      <c r="G48" s="1210"/>
      <c r="H48" s="1211"/>
      <c r="I48" s="341"/>
      <c r="J48" s="95"/>
    </row>
    <row r="49" spans="2:10" ht="15.75" customHeight="1" x14ac:dyDescent="0.3">
      <c r="B49" s="267" t="s">
        <v>336</v>
      </c>
      <c r="C49" s="1191"/>
      <c r="D49" s="1192"/>
      <c r="E49" s="1193"/>
      <c r="F49" s="1209" t="str">
        <f>F39</f>
        <v>     </v>
      </c>
      <c r="G49" s="1210"/>
      <c r="H49" s="1211"/>
      <c r="I49" s="341"/>
      <c r="J49" s="95"/>
    </row>
    <row r="50" spans="2:10" ht="15.75" customHeight="1" x14ac:dyDescent="0.3">
      <c r="B50" s="267" t="s">
        <v>337</v>
      </c>
      <c r="C50" s="1191" t="s">
        <v>338</v>
      </c>
      <c r="D50" s="1192"/>
      <c r="E50" s="1193"/>
      <c r="F50" s="1209" t="str">
        <f>F40</f>
        <v>     </v>
      </c>
      <c r="G50" s="1210"/>
      <c r="H50" s="1211"/>
      <c r="I50" s="341"/>
      <c r="J50" s="95"/>
    </row>
    <row r="51" spans="2:10" ht="15.75" customHeight="1" x14ac:dyDescent="0.25">
      <c r="B51" s="1196" t="s">
        <v>339</v>
      </c>
      <c r="C51" s="1191"/>
      <c r="D51" s="1192"/>
      <c r="E51" s="1193"/>
      <c r="F51" s="1191"/>
      <c r="G51" s="1192"/>
      <c r="H51" s="1193"/>
      <c r="I51" s="1194"/>
    </row>
    <row r="52" spans="2:10" ht="15.75" customHeight="1" thickBot="1" x14ac:dyDescent="0.3">
      <c r="B52" s="1197"/>
      <c r="C52" s="1206"/>
      <c r="D52" s="1207"/>
      <c r="E52" s="1208"/>
      <c r="F52" s="1206"/>
      <c r="G52" s="1207"/>
      <c r="H52" s="1208"/>
      <c r="I52" s="1195"/>
    </row>
    <row r="53" spans="2:10" ht="20.25" customHeight="1" thickBot="1" x14ac:dyDescent="0.3"/>
    <row r="54" spans="2:10" ht="15.75" customHeight="1" thickBot="1" x14ac:dyDescent="0.3">
      <c r="B54" s="1120" t="s">
        <v>340</v>
      </c>
      <c r="C54" s="1121"/>
      <c r="D54" s="1121"/>
      <c r="E54" s="1121"/>
      <c r="F54" s="1121"/>
      <c r="G54" s="1121"/>
      <c r="H54" s="1121"/>
      <c r="I54" s="204" t="s">
        <v>4</v>
      </c>
    </row>
    <row r="55" spans="2:10" ht="15.75" customHeight="1" thickBot="1" x14ac:dyDescent="0.3">
      <c r="B55" s="316"/>
      <c r="C55" s="1203" t="str">
        <f>C46</f>
        <v>Före åtgärd</v>
      </c>
      <c r="D55" s="1204"/>
      <c r="E55" s="1205"/>
      <c r="F55" s="1203" t="str">
        <f>F46</f>
        <v>Efter renovering</v>
      </c>
      <c r="G55" s="1149"/>
      <c r="H55" s="1150"/>
      <c r="I55" s="206"/>
      <c r="J55" s="122"/>
    </row>
    <row r="56" spans="2:10" ht="15.75" thickBot="1" x14ac:dyDescent="0.3">
      <c r="B56" s="317" t="s">
        <v>341</v>
      </c>
      <c r="C56" s="318" t="s">
        <v>342</v>
      </c>
      <c r="D56" s="260" t="s">
        <v>342</v>
      </c>
      <c r="E56" s="319" t="s">
        <v>342</v>
      </c>
      <c r="F56" s="320" t="s">
        <v>342</v>
      </c>
      <c r="G56" s="260" t="s">
        <v>342</v>
      </c>
      <c r="H56" s="319" t="s">
        <v>342</v>
      </c>
      <c r="I56" s="205"/>
    </row>
    <row r="57" spans="2:10" x14ac:dyDescent="0.25">
      <c r="B57" s="265" t="s">
        <v>343</v>
      </c>
      <c r="C57" s="357"/>
      <c r="D57" s="358" t="s">
        <v>19</v>
      </c>
      <c r="E57" s="359" t="s">
        <v>19</v>
      </c>
      <c r="F57" s="360" t="s">
        <v>19</v>
      </c>
      <c r="G57" s="358" t="s">
        <v>19</v>
      </c>
      <c r="H57" s="361" t="s">
        <v>19</v>
      </c>
      <c r="I57" s="362" t="s">
        <v>19</v>
      </c>
      <c r="J57" s="95"/>
    </row>
    <row r="58" spans="2:10" ht="15.75" customHeight="1" x14ac:dyDescent="0.25">
      <c r="B58" s="267" t="s">
        <v>344</v>
      </c>
      <c r="C58" s="363"/>
      <c r="D58" s="364"/>
      <c r="E58" s="365"/>
      <c r="F58" s="366"/>
      <c r="G58" s="364"/>
      <c r="H58" s="367"/>
      <c r="I58" s="368"/>
    </row>
    <row r="59" spans="2:10" ht="15.75" customHeight="1" thickBot="1" x14ac:dyDescent="0.3">
      <c r="B59" s="270" t="s">
        <v>345</v>
      </c>
      <c r="C59" s="369"/>
      <c r="D59" s="370" t="s">
        <v>19</v>
      </c>
      <c r="E59" s="371" t="s">
        <v>19</v>
      </c>
      <c r="F59" s="372" t="s">
        <v>19</v>
      </c>
      <c r="G59" s="370" t="s">
        <v>19</v>
      </c>
      <c r="H59" s="373" t="s">
        <v>19</v>
      </c>
      <c r="I59" s="374" t="s">
        <v>19</v>
      </c>
    </row>
    <row r="60" spans="2:10" ht="15.75" customHeight="1" thickBot="1" x14ac:dyDescent="0.3">
      <c r="B60" s="321" t="s">
        <v>346</v>
      </c>
      <c r="C60" s="322" t="s">
        <v>342</v>
      </c>
      <c r="D60" s="323" t="s">
        <v>342</v>
      </c>
      <c r="E60" s="324" t="s">
        <v>342</v>
      </c>
      <c r="F60" s="325" t="s">
        <v>342</v>
      </c>
      <c r="G60" s="323" t="s">
        <v>342</v>
      </c>
      <c r="H60" s="324" t="s">
        <v>342</v>
      </c>
      <c r="I60" s="326"/>
    </row>
    <row r="61" spans="2:10" ht="15.75" customHeight="1" x14ac:dyDescent="0.25">
      <c r="B61" s="327" t="s">
        <v>347</v>
      </c>
      <c r="C61" s="357"/>
      <c r="D61" s="358" t="s">
        <v>19</v>
      </c>
      <c r="E61" s="359" t="s">
        <v>19</v>
      </c>
      <c r="F61" s="360" t="s">
        <v>19</v>
      </c>
      <c r="G61" s="375" t="s">
        <v>19</v>
      </c>
      <c r="H61" s="359" t="s">
        <v>19</v>
      </c>
      <c r="I61" s="376" t="s">
        <v>19</v>
      </c>
    </row>
    <row r="62" spans="2:10" ht="15.75" customHeight="1" x14ac:dyDescent="0.25">
      <c r="B62" s="328" t="s">
        <v>348</v>
      </c>
      <c r="C62" s="363"/>
      <c r="D62" s="364" t="s">
        <v>19</v>
      </c>
      <c r="E62" s="365" t="s">
        <v>19</v>
      </c>
      <c r="F62" s="366" t="s">
        <v>19</v>
      </c>
      <c r="G62" s="377" t="s">
        <v>19</v>
      </c>
      <c r="H62" s="365" t="s">
        <v>19</v>
      </c>
      <c r="I62" s="378" t="s">
        <v>19</v>
      </c>
    </row>
    <row r="63" spans="2:10" x14ac:dyDescent="0.25">
      <c r="B63" s="328" t="s">
        <v>349</v>
      </c>
      <c r="C63" s="363"/>
      <c r="D63" s="364" t="s">
        <v>19</v>
      </c>
      <c r="E63" s="365" t="s">
        <v>19</v>
      </c>
      <c r="F63" s="366" t="s">
        <v>19</v>
      </c>
      <c r="G63" s="377" t="s">
        <v>19</v>
      </c>
      <c r="H63" s="365" t="s">
        <v>19</v>
      </c>
      <c r="I63" s="378" t="s">
        <v>19</v>
      </c>
    </row>
    <row r="64" spans="2:10" ht="15.75" customHeight="1" x14ac:dyDescent="0.25">
      <c r="B64" s="328" t="s">
        <v>350</v>
      </c>
      <c r="C64" s="363"/>
      <c r="D64" s="364" t="s">
        <v>19</v>
      </c>
      <c r="E64" s="365" t="s">
        <v>19</v>
      </c>
      <c r="F64" s="366" t="s">
        <v>19</v>
      </c>
      <c r="G64" s="377" t="s">
        <v>19</v>
      </c>
      <c r="H64" s="365" t="s">
        <v>19</v>
      </c>
      <c r="I64" s="378" t="s">
        <v>19</v>
      </c>
    </row>
    <row r="65" spans="2:11" ht="15.75" customHeight="1" x14ac:dyDescent="0.25">
      <c r="B65" s="328" t="s">
        <v>351</v>
      </c>
      <c r="C65" s="363"/>
      <c r="D65" s="364" t="s">
        <v>19</v>
      </c>
      <c r="E65" s="365" t="s">
        <v>19</v>
      </c>
      <c r="F65" s="366" t="s">
        <v>19</v>
      </c>
      <c r="G65" s="377" t="s">
        <v>19</v>
      </c>
      <c r="H65" s="365" t="s">
        <v>19</v>
      </c>
      <c r="I65" s="378" t="s">
        <v>19</v>
      </c>
      <c r="J65" s="122"/>
    </row>
    <row r="66" spans="2:11" ht="15.75" customHeight="1" x14ac:dyDescent="0.25">
      <c r="B66" s="328" t="s">
        <v>352</v>
      </c>
      <c r="C66" s="363"/>
      <c r="D66" s="364" t="s">
        <v>19</v>
      </c>
      <c r="E66" s="365" t="s">
        <v>19</v>
      </c>
      <c r="F66" s="366" t="s">
        <v>19</v>
      </c>
      <c r="G66" s="377" t="s">
        <v>19</v>
      </c>
      <c r="H66" s="365" t="s">
        <v>19</v>
      </c>
      <c r="I66" s="378" t="s">
        <v>19</v>
      </c>
    </row>
    <row r="67" spans="2:11" ht="15.75" thickBot="1" x14ac:dyDescent="0.3">
      <c r="B67" s="329" t="s">
        <v>353</v>
      </c>
      <c r="C67" s="369"/>
      <c r="D67" s="370" t="s">
        <v>19</v>
      </c>
      <c r="E67" s="371" t="s">
        <v>19</v>
      </c>
      <c r="F67" s="372" t="s">
        <v>19</v>
      </c>
      <c r="G67" s="379" t="s">
        <v>19</v>
      </c>
      <c r="H67" s="371" t="s">
        <v>19</v>
      </c>
      <c r="I67" s="380" t="s">
        <v>19</v>
      </c>
      <c r="K67" s="100"/>
    </row>
    <row r="68" spans="2:11" ht="20.25" customHeight="1" thickBot="1" x14ac:dyDescent="0.3"/>
    <row r="69" spans="2:11" ht="19.5" customHeight="1" thickBot="1" x14ac:dyDescent="0.3">
      <c r="B69" s="1120" t="s">
        <v>354</v>
      </c>
      <c r="C69" s="1121"/>
      <c r="D69" s="1121"/>
      <c r="E69" s="1121"/>
      <c r="F69" s="1121"/>
      <c r="G69" s="1121"/>
      <c r="H69" s="314"/>
      <c r="I69" s="24" t="s">
        <v>4</v>
      </c>
    </row>
    <row r="70" spans="2:11" ht="15.75" customHeight="1" thickBot="1" x14ac:dyDescent="0.3">
      <c r="B70" s="330"/>
      <c r="C70" s="1198" t="str">
        <f>C55</f>
        <v>Före åtgärd</v>
      </c>
      <c r="D70" s="1199"/>
      <c r="E70" s="1200"/>
      <c r="F70" s="1198" t="str">
        <f>F55</f>
        <v>Efter renovering</v>
      </c>
      <c r="G70" s="1201"/>
      <c r="H70" s="1202"/>
      <c r="I70" s="89"/>
      <c r="J70" s="95" t="s">
        <v>355</v>
      </c>
    </row>
    <row r="71" spans="2:11" ht="18.75" customHeight="1" thickBot="1" x14ac:dyDescent="0.3">
      <c r="B71" s="258" t="s">
        <v>356</v>
      </c>
      <c r="C71" s="318" t="s">
        <v>342</v>
      </c>
      <c r="D71" s="260" t="s">
        <v>342</v>
      </c>
      <c r="E71" s="319" t="s">
        <v>342</v>
      </c>
      <c r="F71" s="320" t="s">
        <v>342</v>
      </c>
      <c r="G71" s="260" t="s">
        <v>342</v>
      </c>
      <c r="H71" s="319" t="s">
        <v>342</v>
      </c>
      <c r="I71" s="331"/>
      <c r="J71" s="122" t="s">
        <v>357</v>
      </c>
    </row>
    <row r="72" spans="2:11" ht="18.75" customHeight="1" x14ac:dyDescent="0.25">
      <c r="B72" s="265" t="s">
        <v>358</v>
      </c>
      <c r="C72" s="381" t="s">
        <v>19</v>
      </c>
      <c r="D72" s="382" t="s">
        <v>19</v>
      </c>
      <c r="E72" s="383" t="s">
        <v>19</v>
      </c>
      <c r="F72" s="384" t="s">
        <v>19</v>
      </c>
      <c r="G72" s="382" t="s">
        <v>19</v>
      </c>
      <c r="H72" s="383" t="s">
        <v>19</v>
      </c>
      <c r="I72" s="385" t="s">
        <v>19</v>
      </c>
    </row>
    <row r="73" spans="2:11" ht="18.75" customHeight="1" x14ac:dyDescent="0.25">
      <c r="B73" s="267" t="s">
        <v>359</v>
      </c>
      <c r="C73" s="386" t="s">
        <v>19</v>
      </c>
      <c r="D73" s="387" t="s">
        <v>19</v>
      </c>
      <c r="E73" s="388" t="s">
        <v>19</v>
      </c>
      <c r="F73" s="389" t="s">
        <v>19</v>
      </c>
      <c r="G73" s="387" t="s">
        <v>19</v>
      </c>
      <c r="H73" s="388" t="s">
        <v>19</v>
      </c>
      <c r="I73" s="390" t="s">
        <v>19</v>
      </c>
    </row>
    <row r="74" spans="2:11" ht="18.75" customHeight="1" x14ac:dyDescent="0.25">
      <c r="B74" s="267" t="s">
        <v>360</v>
      </c>
      <c r="C74" s="386" t="s">
        <v>19</v>
      </c>
      <c r="D74" s="387" t="s">
        <v>19</v>
      </c>
      <c r="E74" s="388" t="s">
        <v>19</v>
      </c>
      <c r="F74" s="389" t="s">
        <v>19</v>
      </c>
      <c r="G74" s="387" t="s">
        <v>19</v>
      </c>
      <c r="H74" s="388" t="s">
        <v>19</v>
      </c>
      <c r="I74" s="390" t="s">
        <v>19</v>
      </c>
    </row>
    <row r="75" spans="2:11" ht="18.75" customHeight="1" x14ac:dyDescent="0.25">
      <c r="B75" s="267" t="s">
        <v>361</v>
      </c>
      <c r="C75" s="386" t="s">
        <v>19</v>
      </c>
      <c r="D75" s="387" t="s">
        <v>19</v>
      </c>
      <c r="E75" s="388" t="s">
        <v>19</v>
      </c>
      <c r="F75" s="389" t="s">
        <v>19</v>
      </c>
      <c r="G75" s="387" t="s">
        <v>19</v>
      </c>
      <c r="H75" s="388" t="s">
        <v>19</v>
      </c>
      <c r="I75" s="390" t="s">
        <v>19</v>
      </c>
    </row>
    <row r="76" spans="2:11" ht="18.75" customHeight="1" x14ac:dyDescent="0.25">
      <c r="B76" s="267" t="s">
        <v>362</v>
      </c>
      <c r="C76" s="386" t="s">
        <v>19</v>
      </c>
      <c r="D76" s="387" t="s">
        <v>19</v>
      </c>
      <c r="E76" s="388" t="s">
        <v>19</v>
      </c>
      <c r="F76" s="389" t="s">
        <v>19</v>
      </c>
      <c r="G76" s="387" t="s">
        <v>19</v>
      </c>
      <c r="H76" s="388" t="s">
        <v>19</v>
      </c>
      <c r="I76" s="390" t="s">
        <v>19</v>
      </c>
    </row>
    <row r="77" spans="2:11" ht="18.75" customHeight="1" x14ac:dyDescent="0.25">
      <c r="B77" s="267" t="s">
        <v>363</v>
      </c>
      <c r="C77" s="386" t="s">
        <v>19</v>
      </c>
      <c r="D77" s="387" t="s">
        <v>19</v>
      </c>
      <c r="E77" s="388" t="s">
        <v>19</v>
      </c>
      <c r="F77" s="389" t="s">
        <v>19</v>
      </c>
      <c r="G77" s="387" t="s">
        <v>19</v>
      </c>
      <c r="H77" s="388" t="s">
        <v>19</v>
      </c>
      <c r="I77" s="390" t="s">
        <v>19</v>
      </c>
    </row>
    <row r="78" spans="2:11" ht="18.75" customHeight="1" x14ac:dyDescent="0.25">
      <c r="B78" s="267" t="s">
        <v>364</v>
      </c>
      <c r="C78" s="386" t="s">
        <v>19</v>
      </c>
      <c r="D78" s="387" t="s">
        <v>19</v>
      </c>
      <c r="E78" s="388" t="s">
        <v>19</v>
      </c>
      <c r="F78" s="389" t="s">
        <v>19</v>
      </c>
      <c r="G78" s="387" t="s">
        <v>19</v>
      </c>
      <c r="H78" s="388" t="s">
        <v>19</v>
      </c>
      <c r="I78" s="390" t="s">
        <v>19</v>
      </c>
      <c r="J78" s="122" t="s">
        <v>365</v>
      </c>
    </row>
    <row r="79" spans="2:11" ht="18.75" customHeight="1" x14ac:dyDescent="0.25">
      <c r="B79" s="267" t="s">
        <v>366</v>
      </c>
      <c r="C79" s="386" t="s">
        <v>19</v>
      </c>
      <c r="D79" s="387" t="s">
        <v>19</v>
      </c>
      <c r="E79" s="388" t="s">
        <v>19</v>
      </c>
      <c r="F79" s="389" t="s">
        <v>19</v>
      </c>
      <c r="G79" s="387" t="s">
        <v>19</v>
      </c>
      <c r="H79" s="388" t="s">
        <v>19</v>
      </c>
      <c r="I79" s="390" t="s">
        <v>19</v>
      </c>
    </row>
    <row r="80" spans="2:11" ht="18.75" customHeight="1" x14ac:dyDescent="0.25">
      <c r="B80" s="267" t="s">
        <v>367</v>
      </c>
      <c r="C80" s="386" t="s">
        <v>19</v>
      </c>
      <c r="D80" s="387" t="s">
        <v>19</v>
      </c>
      <c r="E80" s="388" t="s">
        <v>19</v>
      </c>
      <c r="F80" s="389" t="s">
        <v>19</v>
      </c>
      <c r="G80" s="387" t="s">
        <v>19</v>
      </c>
      <c r="H80" s="388" t="s">
        <v>19</v>
      </c>
      <c r="I80" s="390" t="s">
        <v>19</v>
      </c>
      <c r="J80" s="122" t="s">
        <v>368</v>
      </c>
    </row>
    <row r="81" spans="2:9" ht="18.75" customHeight="1" x14ac:dyDescent="0.25">
      <c r="B81" s="267" t="s">
        <v>369</v>
      </c>
      <c r="C81" s="386" t="s">
        <v>19</v>
      </c>
      <c r="D81" s="387" t="s">
        <v>19</v>
      </c>
      <c r="E81" s="388" t="s">
        <v>19</v>
      </c>
      <c r="F81" s="389" t="s">
        <v>19</v>
      </c>
      <c r="G81" s="387" t="s">
        <v>19</v>
      </c>
      <c r="H81" s="388" t="s">
        <v>19</v>
      </c>
      <c r="I81" s="390" t="s">
        <v>19</v>
      </c>
    </row>
    <row r="82" spans="2:9" ht="15.75" thickBot="1" x14ac:dyDescent="0.3">
      <c r="B82" s="1009" t="s">
        <v>370</v>
      </c>
      <c r="C82" s="1028" t="s">
        <v>19</v>
      </c>
      <c r="D82" s="1029" t="s">
        <v>19</v>
      </c>
      <c r="E82" s="1030" t="s">
        <v>19</v>
      </c>
      <c r="F82" s="1031" t="s">
        <v>19</v>
      </c>
      <c r="G82" s="1029" t="s">
        <v>19</v>
      </c>
      <c r="H82" s="1030" t="s">
        <v>19</v>
      </c>
      <c r="I82" s="1032" t="s">
        <v>19</v>
      </c>
    </row>
    <row r="83" spans="2:9" ht="15.75" thickBot="1" x14ac:dyDescent="0.3">
      <c r="B83" s="258" t="s">
        <v>371</v>
      </c>
      <c r="C83" s="318" t="s">
        <v>342</v>
      </c>
      <c r="D83" s="260" t="s">
        <v>342</v>
      </c>
      <c r="E83" s="319" t="s">
        <v>342</v>
      </c>
      <c r="F83" s="320" t="s">
        <v>342</v>
      </c>
      <c r="G83" s="260" t="s">
        <v>342</v>
      </c>
      <c r="H83" s="319" t="s">
        <v>342</v>
      </c>
      <c r="I83" s="1008"/>
    </row>
    <row r="84" spans="2:9" x14ac:dyDescent="0.25">
      <c r="B84" s="265" t="s">
        <v>372</v>
      </c>
      <c r="C84" s="381" t="s">
        <v>19</v>
      </c>
      <c r="D84" s="382" t="s">
        <v>19</v>
      </c>
      <c r="E84" s="383" t="s">
        <v>19</v>
      </c>
      <c r="F84" s="384" t="s">
        <v>19</v>
      </c>
      <c r="G84" s="382" t="s">
        <v>19</v>
      </c>
      <c r="H84" s="383" t="s">
        <v>19</v>
      </c>
      <c r="I84" s="385" t="s">
        <v>19</v>
      </c>
    </row>
    <row r="85" spans="2:9" x14ac:dyDescent="0.25">
      <c r="B85" s="267" t="s">
        <v>373</v>
      </c>
      <c r="C85" s="386" t="s">
        <v>19</v>
      </c>
      <c r="D85" s="387" t="s">
        <v>19</v>
      </c>
      <c r="E85" s="388" t="s">
        <v>19</v>
      </c>
      <c r="F85" s="389" t="s">
        <v>19</v>
      </c>
      <c r="G85" s="387" t="s">
        <v>19</v>
      </c>
      <c r="H85" s="388" t="s">
        <v>19</v>
      </c>
      <c r="I85" s="390" t="s">
        <v>19</v>
      </c>
    </row>
    <row r="86" spans="2:9" ht="15.75" thickBot="1" x14ac:dyDescent="0.3">
      <c r="B86" s="267" t="s">
        <v>374</v>
      </c>
      <c r="C86" s="395"/>
      <c r="D86" s="387" t="s">
        <v>19</v>
      </c>
      <c r="E86" s="388" t="s">
        <v>19</v>
      </c>
      <c r="F86" s="389" t="s">
        <v>19</v>
      </c>
      <c r="G86" s="387" t="s">
        <v>19</v>
      </c>
      <c r="H86" s="388" t="s">
        <v>19</v>
      </c>
      <c r="I86" s="1032" t="s">
        <v>19</v>
      </c>
    </row>
    <row r="87" spans="2:9" ht="15.75" thickBot="1" x14ac:dyDescent="0.3">
      <c r="B87" s="258" t="s">
        <v>375</v>
      </c>
      <c r="C87" s="318" t="s">
        <v>342</v>
      </c>
      <c r="D87" s="260" t="s">
        <v>342</v>
      </c>
      <c r="E87" s="319" t="s">
        <v>342</v>
      </c>
      <c r="F87" s="320" t="s">
        <v>342</v>
      </c>
      <c r="G87" s="260" t="s">
        <v>342</v>
      </c>
      <c r="H87" s="319" t="s">
        <v>342</v>
      </c>
      <c r="I87" s="258"/>
    </row>
    <row r="88" spans="2:9" x14ac:dyDescent="0.25">
      <c r="B88" s="265" t="s">
        <v>376</v>
      </c>
      <c r="C88" s="381" t="s">
        <v>19</v>
      </c>
      <c r="D88" s="382" t="s">
        <v>19</v>
      </c>
      <c r="E88" s="383" t="s">
        <v>19</v>
      </c>
      <c r="F88" s="384" t="s">
        <v>19</v>
      </c>
      <c r="G88" s="382" t="s">
        <v>19</v>
      </c>
      <c r="H88" s="383" t="s">
        <v>19</v>
      </c>
      <c r="I88" s="385" t="s">
        <v>19</v>
      </c>
    </row>
    <row r="89" spans="2:9" ht="15.75" thickBot="1" x14ac:dyDescent="0.3">
      <c r="B89" s="294" t="s">
        <v>377</v>
      </c>
      <c r="C89" s="386" t="s">
        <v>19</v>
      </c>
      <c r="D89" s="387" t="s">
        <v>19</v>
      </c>
      <c r="E89" s="388" t="s">
        <v>19</v>
      </c>
      <c r="F89" s="389" t="s">
        <v>19</v>
      </c>
      <c r="G89" s="387" t="s">
        <v>19</v>
      </c>
      <c r="H89" s="388" t="s">
        <v>19</v>
      </c>
      <c r="I89" s="394" t="s">
        <v>19</v>
      </c>
    </row>
    <row r="90" spans="2:9" ht="15.75" thickBot="1" x14ac:dyDescent="0.3">
      <c r="B90" s="317" t="s">
        <v>378</v>
      </c>
      <c r="C90" s="318" t="s">
        <v>342</v>
      </c>
      <c r="D90" s="260" t="s">
        <v>342</v>
      </c>
      <c r="E90" s="319" t="s">
        <v>342</v>
      </c>
      <c r="F90" s="320" t="s">
        <v>342</v>
      </c>
      <c r="G90" s="260" t="s">
        <v>342</v>
      </c>
      <c r="H90" s="319" t="s">
        <v>342</v>
      </c>
      <c r="I90" s="331"/>
    </row>
    <row r="91" spans="2:9" x14ac:dyDescent="0.25">
      <c r="B91" s="396"/>
      <c r="C91" s="386"/>
      <c r="D91" s="387"/>
      <c r="E91" s="388"/>
      <c r="F91" s="389"/>
      <c r="G91" s="387"/>
      <c r="H91" s="388"/>
      <c r="I91" s="390"/>
    </row>
    <row r="92" spans="2:9" x14ac:dyDescent="0.25">
      <c r="B92" s="397"/>
      <c r="C92" s="386"/>
      <c r="D92" s="387"/>
      <c r="E92" s="388"/>
      <c r="F92" s="389"/>
      <c r="G92" s="387"/>
      <c r="H92" s="388"/>
      <c r="I92" s="390"/>
    </row>
    <row r="93" spans="2:9" x14ac:dyDescent="0.25">
      <c r="B93" s="397"/>
      <c r="C93" s="386"/>
      <c r="D93" s="387"/>
      <c r="E93" s="388"/>
      <c r="F93" s="389"/>
      <c r="G93" s="387"/>
      <c r="H93" s="388"/>
      <c r="I93" s="390"/>
    </row>
    <row r="94" spans="2:9" x14ac:dyDescent="0.25">
      <c r="B94" s="397"/>
      <c r="C94" s="386"/>
      <c r="D94" s="387"/>
      <c r="E94" s="388"/>
      <c r="F94" s="389"/>
      <c r="G94" s="387"/>
      <c r="H94" s="388"/>
      <c r="I94" s="390"/>
    </row>
    <row r="95" spans="2:9" x14ac:dyDescent="0.25">
      <c r="B95" s="397"/>
      <c r="C95" s="386"/>
      <c r="D95" s="387"/>
      <c r="E95" s="388"/>
      <c r="F95" s="389"/>
      <c r="G95" s="387"/>
      <c r="H95" s="388"/>
      <c r="I95" s="390"/>
    </row>
    <row r="96" spans="2:9" ht="15.75" thickBot="1" x14ac:dyDescent="0.3">
      <c r="B96" s="398"/>
      <c r="C96" s="399"/>
      <c r="D96" s="391"/>
      <c r="E96" s="392"/>
      <c r="F96" s="393"/>
      <c r="G96" s="391"/>
      <c r="H96" s="392"/>
      <c r="I96" s="394"/>
    </row>
  </sheetData>
  <sheetProtection algorithmName="SHA-512" hashValue="x+Lu0h0ji9j5G+uQ/fVDcaz+eYoDoHSYr09uX/1jT+J7PjqHSnMw+Bf+pd7jb29Ke3DXpYeNd2RVU4H+f0eFHg==" saltValue="6ECXsM8k2f3zOhDC+wm6tA==" spinCount="100000" sheet="1" objects="1" scenarios="1" insertRows="0"/>
  <mergeCells count="40">
    <mergeCell ref="B35:H35"/>
    <mergeCell ref="B69:G69"/>
    <mergeCell ref="B3:H3"/>
    <mergeCell ref="C4:E4"/>
    <mergeCell ref="F4:H4"/>
    <mergeCell ref="C40:E40"/>
    <mergeCell ref="C42:E42"/>
    <mergeCell ref="C43:E43"/>
    <mergeCell ref="F37:H37"/>
    <mergeCell ref="F38:H38"/>
    <mergeCell ref="F39:H39"/>
    <mergeCell ref="F40:H40"/>
    <mergeCell ref="F42:H42"/>
    <mergeCell ref="C50:E50"/>
    <mergeCell ref="C36:E36"/>
    <mergeCell ref="F36:H36"/>
    <mergeCell ref="C37:E37"/>
    <mergeCell ref="C38:E38"/>
    <mergeCell ref="C39:E39"/>
    <mergeCell ref="F46:H46"/>
    <mergeCell ref="F47:H47"/>
    <mergeCell ref="C47:E47"/>
    <mergeCell ref="F43:H43"/>
    <mergeCell ref="C46:E46"/>
    <mergeCell ref="C41:E41"/>
    <mergeCell ref="F41:H41"/>
    <mergeCell ref="C48:E48"/>
    <mergeCell ref="C49:E49"/>
    <mergeCell ref="I51:I52"/>
    <mergeCell ref="B51:B52"/>
    <mergeCell ref="C70:E70"/>
    <mergeCell ref="F70:H70"/>
    <mergeCell ref="F55:H55"/>
    <mergeCell ref="C55:E55"/>
    <mergeCell ref="C51:E52"/>
    <mergeCell ref="F51:H52"/>
    <mergeCell ref="B54:H54"/>
    <mergeCell ref="F48:H48"/>
    <mergeCell ref="F49:H49"/>
    <mergeCell ref="F50:H50"/>
  </mergeCells>
  <phoneticPr fontId="40" type="noConversion"/>
  <pageMargins left="0.7" right="0.7" top="0.75" bottom="0.75" header="0.3" footer="0.3"/>
  <pageSetup paperSize="9" orientation="portrait" horizontalDpi="300" verticalDpi="300" r:id="rId1"/>
  <ignoredErrors>
    <ignoredError sqref="H7 E7" calculatedColumn="1"/>
  </ignoredError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E3E-BAF4-49B9-90C6-2781B79E4AD2}">
  <dimension ref="B1:S32"/>
  <sheetViews>
    <sheetView zoomScale="80" zoomScaleNormal="80" workbookViewId="0">
      <selection activeCell="K20" sqref="K20"/>
    </sheetView>
  </sheetViews>
  <sheetFormatPr defaultColWidth="8.7109375" defaultRowHeight="15" x14ac:dyDescent="0.25"/>
  <cols>
    <col min="1" max="1" width="1.42578125" style="21" customWidth="1"/>
    <col min="2" max="2" width="21.5703125" style="21" customWidth="1"/>
    <col min="3" max="3" width="12.7109375" style="21" customWidth="1"/>
    <col min="4" max="4" width="11.85546875" style="21" customWidth="1"/>
    <col min="5" max="5" width="12.42578125" style="21" customWidth="1"/>
    <col min="6" max="7" width="12.5703125" style="21" customWidth="1"/>
    <col min="8" max="9" width="10.85546875" style="21" customWidth="1"/>
    <col min="10" max="10" width="12.85546875" style="21" customWidth="1"/>
    <col min="11" max="11" width="12.42578125" style="21" customWidth="1"/>
    <col min="12" max="12" width="12.5703125" style="21" customWidth="1"/>
    <col min="13" max="15" width="12.42578125" style="21" customWidth="1"/>
    <col min="16" max="16384" width="8.7109375" style="21"/>
  </cols>
  <sheetData>
    <row r="1" spans="2:19" ht="17.25" customHeight="1" x14ac:dyDescent="0.35">
      <c r="B1" s="19" t="s">
        <v>379</v>
      </c>
      <c r="G1" s="95"/>
    </row>
    <row r="2" spans="2:19" ht="17.25" customHeight="1" thickBot="1" x14ac:dyDescent="0.35">
      <c r="B2" s="772"/>
      <c r="G2" s="95"/>
      <c r="H2" s="559" t="s">
        <v>380</v>
      </c>
    </row>
    <row r="3" spans="2:19" ht="17.25" customHeight="1" thickBot="1" x14ac:dyDescent="0.35">
      <c r="C3" s="115"/>
      <c r="D3" s="451"/>
      <c r="I3" s="414" t="s">
        <v>381</v>
      </c>
      <c r="J3" s="414" t="s">
        <v>382</v>
      </c>
    </row>
    <row r="4" spans="2:19" ht="17.25" customHeight="1" thickBot="1" x14ac:dyDescent="0.35">
      <c r="C4" s="569" t="s">
        <v>24</v>
      </c>
      <c r="D4" s="114" t="s">
        <v>26</v>
      </c>
      <c r="H4" s="451" t="s">
        <v>383</v>
      </c>
      <c r="I4" s="790">
        <v>1.6</v>
      </c>
      <c r="J4" s="792">
        <v>1.8</v>
      </c>
    </row>
    <row r="5" spans="2:19" ht="17.25" customHeight="1" thickBot="1" x14ac:dyDescent="0.35">
      <c r="B5" s="451" t="s">
        <v>384</v>
      </c>
      <c r="C5" s="773" t="str">
        <f>'A. Byggnadsinfo med BBR'!D25</f>
        <v>N</v>
      </c>
      <c r="D5" s="774" t="str">
        <f>'A. Byggnadsinfo med BBR'!E25</f>
        <v>N</v>
      </c>
      <c r="H5" s="451" t="s">
        <v>97</v>
      </c>
      <c r="I5" s="797">
        <v>1</v>
      </c>
      <c r="J5" s="799">
        <v>0.7</v>
      </c>
    </row>
    <row r="6" spans="2:19" ht="17.25" customHeight="1" thickBot="1" x14ac:dyDescent="0.4">
      <c r="B6" s="451" t="s">
        <v>385</v>
      </c>
      <c r="C6" s="775">
        <f>'A. Byggnadsinfo med BBR'!D43</f>
        <v>0</v>
      </c>
      <c r="D6" s="775">
        <f>'A. Byggnadsinfo med BBR'!E43</f>
        <v>0</v>
      </c>
      <c r="H6" s="451" t="s">
        <v>101</v>
      </c>
      <c r="I6" s="797">
        <v>1</v>
      </c>
      <c r="J6" s="799">
        <v>0.6</v>
      </c>
    </row>
    <row r="7" spans="2:19" ht="17.25" customHeight="1" thickBot="1" x14ac:dyDescent="0.4">
      <c r="B7" s="451" t="s">
        <v>386</v>
      </c>
      <c r="C7" s="776" t="str">
        <f>'A. Byggnadsinfo med BBR'!E51</f>
        <v/>
      </c>
      <c r="D7" s="777"/>
      <c r="G7" s="777"/>
      <c r="H7" s="451" t="s">
        <v>387</v>
      </c>
      <c r="I7" s="797">
        <v>1</v>
      </c>
      <c r="J7" s="799">
        <v>0.6</v>
      </c>
    </row>
    <row r="8" spans="2:19" ht="17.25" customHeight="1" thickBot="1" x14ac:dyDescent="0.35">
      <c r="H8" s="451" t="s">
        <v>388</v>
      </c>
      <c r="I8" s="545">
        <v>1</v>
      </c>
      <c r="J8" s="807">
        <v>1.8</v>
      </c>
    </row>
    <row r="9" spans="2:19" ht="49.5" customHeight="1" thickBot="1" x14ac:dyDescent="0.35">
      <c r="B9" s="778"/>
      <c r="C9" s="779" t="s">
        <v>235</v>
      </c>
      <c r="D9" s="779" t="s">
        <v>389</v>
      </c>
      <c r="E9" s="779" t="s">
        <v>390</v>
      </c>
      <c r="F9" s="779" t="s">
        <v>391</v>
      </c>
      <c r="G9" s="779" t="s">
        <v>392</v>
      </c>
      <c r="I9" s="780"/>
      <c r="K9" s="779" t="str">
        <f>C9</f>
        <v>Beräknat före åtgärd</v>
      </c>
      <c r="L9" s="779" t="str">
        <f>D9</f>
        <v>Beräknat efter renovering</v>
      </c>
      <c r="M9" s="779" t="str">
        <f>E9</f>
        <v>Uppmätt före åtgärd</v>
      </c>
      <c r="N9" s="779" t="str">
        <f>F9</f>
        <v>Uppmätt efter renovering</v>
      </c>
      <c r="O9" s="779" t="str">
        <f>G9</f>
        <v>Uppmätt efter renov. år 2</v>
      </c>
    </row>
    <row r="10" spans="2:19" ht="20.25" thickBot="1" x14ac:dyDescent="0.4">
      <c r="B10" s="781"/>
      <c r="C10" s="782" t="s">
        <v>238</v>
      </c>
      <c r="D10" s="782" t="s">
        <v>238</v>
      </c>
      <c r="E10" s="782" t="s">
        <v>238</v>
      </c>
      <c r="F10" s="782" t="s">
        <v>238</v>
      </c>
      <c r="G10" s="782" t="s">
        <v>238</v>
      </c>
      <c r="J10" s="783" t="s">
        <v>393</v>
      </c>
      <c r="K10" s="784">
        <f>IFERROR(SUM(K11:K15),0)</f>
        <v>0</v>
      </c>
      <c r="L10" s="784">
        <f>IFERROR(SUM(L11:L15),0)</f>
        <v>0</v>
      </c>
      <c r="M10" s="784">
        <f>IFERROR(SUM(M11:M15),0)</f>
        <v>0</v>
      </c>
      <c r="N10" s="784">
        <f t="shared" ref="N10:O10" si="0">IFERROR(SUM(N11:N15),0)</f>
        <v>0</v>
      </c>
      <c r="O10" s="784">
        <f t="shared" si="0"/>
        <v>0</v>
      </c>
      <c r="P10" s="785" t="s">
        <v>394</v>
      </c>
    </row>
    <row r="11" spans="2:19" ht="15.75" x14ac:dyDescent="0.3">
      <c r="B11" s="786" t="s">
        <v>259</v>
      </c>
      <c r="C11" s="787">
        <f>'B1. Resultat beräkning'!D28</f>
        <v>0</v>
      </c>
      <c r="D11" s="482">
        <f>'B1. Resultat beräkning'!F28</f>
        <v>0</v>
      </c>
      <c r="E11" s="788">
        <f>IF('C2. Inmatning och verifiering'!$AA$26=0,0,'C2. Inmatning och verifiering'!X$26*'C2. Inmatning och verifiering'!$AE$26/'C2. Inmatning och verifiering'!$AA$26)</f>
        <v>0</v>
      </c>
      <c r="F11" s="789">
        <f>IF('C2. Inmatning och verifiering'!AA40=0,0,'C2. Inmatning och verifiering'!X40*'C2. Inmatning och verifiering'!AE40/'C2. Inmatning och verifiering'!AA40)</f>
        <v>0</v>
      </c>
      <c r="G11" s="789">
        <f>IF('C2. Inmatning och verifiering'!AA54=0,0,'C2. Inmatning och verifiering'!X54*'C2. Inmatning och verifiering'!AE54/'C2. Inmatning och verifiering'!AA54)</f>
        <v>0</v>
      </c>
      <c r="H11" s="115"/>
      <c r="I11" s="115" t="s">
        <v>395</v>
      </c>
      <c r="J11" s="451" t="s">
        <v>396</v>
      </c>
      <c r="K11" s="790">
        <f>IFERROR((C11/$C$7*$J$4+C12/$C$7*$J$5+C13/$C$7*$J$7+C14/$C$7*$J$8)/$C$6,0)</f>
        <v>0</v>
      </c>
      <c r="L11" s="791">
        <f>IFERROR((D11/$C$7*$J$4+D12/$C$7*$J$5+D13/$C$7*$J$7+D14/$C$7*$J$8)/$C$6,0)</f>
        <v>0</v>
      </c>
      <c r="M11" s="791">
        <f>IFERROR((E11/$C$7*$J$4+E12/$C$7*$J$5+E13/$C$7*$J$7+E14/$C$7*$J$8)/$C$6,0)</f>
        <v>0</v>
      </c>
      <c r="N11" s="791">
        <f>IFERROR((F11/$C$7*$J$4+F12/$C$7*$J$5+F13/$C$7*$J$7+F14/$C$7*$J$8)/$C$6,0)</f>
        <v>0</v>
      </c>
      <c r="O11" s="792">
        <f>IFERROR((G11/$C$7*$J$4+G12/$C$7*$J$5+G13/$C$7*$J$7+G14/$C$7*$J$8)/$C$6,0)</f>
        <v>0</v>
      </c>
      <c r="P11" s="115"/>
    </row>
    <row r="12" spans="2:19" ht="15.75" x14ac:dyDescent="0.3">
      <c r="B12" s="793" t="s">
        <v>260</v>
      </c>
      <c r="C12" s="794">
        <f>'B1. Resultat beräkning'!D29</f>
        <v>0</v>
      </c>
      <c r="D12" s="489">
        <f>'B1. Resultat beräkning'!F29</f>
        <v>0</v>
      </c>
      <c r="E12" s="795">
        <f>IF('C2. Inmatning och verifiering'!$AA$26=0,0,'C2. Inmatning och verifiering'!W$26*'C2. Inmatning och verifiering'!$AE$26/'C2. Inmatning och verifiering'!$AA$26)</f>
        <v>0</v>
      </c>
      <c r="F12" s="796">
        <f>IF('C2. Inmatning och verifiering'!$AA$40=0,0,'C2. Inmatning och verifiering'!W$40*'C2. Inmatning och verifiering'!$AE$40/'C2. Inmatning och verifiering'!$AA$40)</f>
        <v>0</v>
      </c>
      <c r="G12" s="796">
        <f>IF('C2. Inmatning och verifiering'!$AA$54=0,0,'C2. Inmatning och verifiering'!W$54*'C2. Inmatning och verifiering'!$AE$54/'C2. Inmatning och verifiering'!$AA$54)</f>
        <v>0</v>
      </c>
      <c r="H12" s="115"/>
      <c r="I12" s="115"/>
      <c r="J12" s="451" t="s">
        <v>397</v>
      </c>
      <c r="K12" s="797">
        <f>IFERROR((C15*$J$4+C16*$J$5+C17*$J$7+C18*$J$8)/$C$6,0)</f>
        <v>0</v>
      </c>
      <c r="L12" s="798">
        <f>IFERROR((D15*$J$4+D16*$J$5+D17*$J$7+D18*$J$8)/$C$6,0)</f>
        <v>0</v>
      </c>
      <c r="M12" s="798">
        <f>IFERROR((E15*$J$4+E16*$J$5+E17*$J$7+E18*$J$8)/$C$6,0)</f>
        <v>0</v>
      </c>
      <c r="N12" s="798">
        <f>IFERROR((F15*$J$4+F16*$J$5+F17*$J$7+F18*$J$8)/$C$6,0)</f>
        <v>0</v>
      </c>
      <c r="O12" s="799">
        <f>IFERROR((G15*$J$4+G16*$J$5+G17*$J$7+G18*$J$8)/$C$6,0)</f>
        <v>0</v>
      </c>
      <c r="P12" s="115"/>
    </row>
    <row r="13" spans="2:19" ht="15.75" x14ac:dyDescent="0.3">
      <c r="B13" s="793" t="s">
        <v>261</v>
      </c>
      <c r="C13" s="794">
        <f>'B1. Resultat beräkning'!D30</f>
        <v>0</v>
      </c>
      <c r="D13" s="489">
        <f>'B1. Resultat beräkning'!F30</f>
        <v>0</v>
      </c>
      <c r="E13" s="795">
        <f>IF('C2. Inmatning och verifiering'!$AA$26=0,0,'C2. Inmatning och verifiering'!Y$26*'C2. Inmatning och verifiering'!$AE$26/'C2. Inmatning och verifiering'!$AA$26)</f>
        <v>0</v>
      </c>
      <c r="F13" s="796">
        <f>IF('C2. Inmatning och verifiering'!$AA$40=0,0,'C2. Inmatning och verifiering'!Y$40*'C2. Inmatning och verifiering'!$AE$40/'C2. Inmatning och verifiering'!$AA$40)</f>
        <v>0</v>
      </c>
      <c r="G13" s="796">
        <f>IF('C2. Inmatning och verifiering'!$AA$54=0,0,'C2. Inmatning och verifiering'!Y$54*'C2. Inmatning och verifiering'!$AE$54/'C2. Inmatning och verifiering'!$AA$54)</f>
        <v>0</v>
      </c>
      <c r="H13" s="115"/>
      <c r="I13" s="115"/>
      <c r="J13" s="451" t="s">
        <v>398</v>
      </c>
      <c r="K13" s="797">
        <f>IFERROR((C19*$J$4+C20*$J$5+C21*$J$7+C22*$J$8)/$C$6,0)</f>
        <v>0</v>
      </c>
      <c r="L13" s="798">
        <f>IFERROR((D19*$J$4+D20*$J$5+D21*$J$7+D22*$J$8)/$C$6,0)</f>
        <v>0</v>
      </c>
      <c r="M13" s="798">
        <f>IFERROR((E19*$J$4+E20*$J$5+E21*$J$7+E22*$J$8)/$C$6,0)</f>
        <v>0</v>
      </c>
      <c r="N13" s="798">
        <f>IFERROR((F19*$J$4+F20*$J$5+F21*$J$7+F22*$J$8)/$C$6,0)</f>
        <v>0</v>
      </c>
      <c r="O13" s="799">
        <f>IFERROR((G19*$J$4+G20*$J$5+G21*$J$7+G22*$J$8)/$C$6,0)</f>
        <v>0</v>
      </c>
      <c r="P13" s="115"/>
    </row>
    <row r="14" spans="2:19" ht="16.5" thickBot="1" x14ac:dyDescent="0.35">
      <c r="B14" s="800" t="s">
        <v>262</v>
      </c>
      <c r="C14" s="801">
        <f>'B1. Resultat beräkning'!D31</f>
        <v>0</v>
      </c>
      <c r="D14" s="802">
        <f>'B1. Resultat beräkning'!F31</f>
        <v>0</v>
      </c>
      <c r="E14" s="803">
        <f>IF('C2. Inmatning och verifiering'!$AA$26=0,0,'C2. Inmatning och verifiering'!Z$26*'C2. Inmatning och verifiering'!$AE$26/'C2. Inmatning och verifiering'!$AA$26)</f>
        <v>0</v>
      </c>
      <c r="F14" s="804">
        <f>IF('C2. Inmatning och verifiering'!$AA$40=0,0,'C2. Inmatning och verifiering'!Z$40*'C2. Inmatning och verifiering'!$AE$40/'C2. Inmatning och verifiering'!$AA$40)</f>
        <v>0</v>
      </c>
      <c r="G14" s="804">
        <f>IF('C2. Inmatning och verifiering'!$AA$54=0,0,'C2. Inmatning och verifiering'!Z$54*'C2. Inmatning och verifiering'!$AE$54/'C2. Inmatning och verifiering'!$AA$54)</f>
        <v>0</v>
      </c>
      <c r="H14" s="115"/>
      <c r="I14" s="115"/>
      <c r="J14" s="451" t="s">
        <v>120</v>
      </c>
      <c r="K14" s="797">
        <f>IFERROR((C23*$J$4+C24*$J$6+C25*$J$5+C26*$J$7+C27*$J$8)/$C$6,0)</f>
        <v>0</v>
      </c>
      <c r="L14" s="798">
        <f>IFERROR((D23*$J$4+D24*$J$6+D25*$J$5+D26*$J$7+D27*$J$8)/$C$6,0)</f>
        <v>0</v>
      </c>
      <c r="M14" s="798">
        <f>IFERROR((E23*$J$4+E24*$J$6+E25*$J$5+E26*$J$7+E27*$J$8)/$C$6,0)</f>
        <v>0</v>
      </c>
      <c r="N14" s="798">
        <f>IFERROR((F23*$J$4+F24*$J$6+F25*$J$5+F26*$J$7+F27*$J$8)/$C$6,0)</f>
        <v>0</v>
      </c>
      <c r="O14" s="799">
        <f>IFERROR((G23*$J$4+G24*$J$6+G25*$J$5+G26*$J$7+G27*$J$8)/$C$6,0)</f>
        <v>0</v>
      </c>
      <c r="P14" s="115"/>
    </row>
    <row r="15" spans="2:19" ht="16.5" thickBot="1" x14ac:dyDescent="0.35">
      <c r="B15" s="805" t="s">
        <v>263</v>
      </c>
      <c r="C15" s="787">
        <f>'B1. Resultat beräkning'!D32</f>
        <v>0</v>
      </c>
      <c r="D15" s="482">
        <f>'B1. Resultat beräkning'!F32</f>
        <v>0</v>
      </c>
      <c r="E15" s="788">
        <f>'C2. Inmatning och verifiering'!N$26</f>
        <v>0</v>
      </c>
      <c r="F15" s="789">
        <f>'C2. Inmatning och verifiering'!N$40</f>
        <v>0</v>
      </c>
      <c r="G15" s="789">
        <f>'C2. Inmatning och verifiering'!N$54</f>
        <v>0</v>
      </c>
      <c r="H15" s="115"/>
      <c r="I15" s="115"/>
      <c r="J15" s="451" t="s">
        <v>122</v>
      </c>
      <c r="K15" s="545">
        <f>IFERROR((C28*$J$4+C29*$J$5+C30*$J$7+C31*$J$8)/$C$6,0)</f>
        <v>0</v>
      </c>
      <c r="L15" s="806">
        <f>IFERROR((D28*$J$4+D29*$J$5+D30*$J$7+D31*$J$8)/$C$6,0)</f>
        <v>0</v>
      </c>
      <c r="M15" s="806">
        <f>IFERROR((E28*$J$4+E29*$J$5+E30*$J$7+E31*$J$8)/$C$6,0)</f>
        <v>0</v>
      </c>
      <c r="N15" s="806">
        <f>IFERROR((F28*$J$4+F29*$J$5+F30*$J$7+F31*$J$8)/$C$6,0)</f>
        <v>0</v>
      </c>
      <c r="O15" s="807">
        <f>IFERROR((G28*$J$4+G29*$J$5+G30*$J$7+G31*$J$8)/$C$6,0)</f>
        <v>0</v>
      </c>
      <c r="P15" s="115"/>
    </row>
    <row r="16" spans="2:19" ht="16.5" thickBot="1" x14ac:dyDescent="0.35">
      <c r="B16" s="808" t="s">
        <v>264</v>
      </c>
      <c r="C16" s="794">
        <f>'B1. Resultat beräkning'!D33</f>
        <v>0</v>
      </c>
      <c r="D16" s="489">
        <f>'B1. Resultat beräkning'!F33</f>
        <v>0</v>
      </c>
      <c r="E16" s="809">
        <f>'C2. Inmatning och verifiering'!M$26</f>
        <v>0</v>
      </c>
      <c r="F16" s="810">
        <f>'C2. Inmatning och verifiering'!M$40</f>
        <v>0</v>
      </c>
      <c r="G16" s="810">
        <f>'C2. Inmatning och verifiering'!M$54</f>
        <v>0</v>
      </c>
      <c r="Q16" s="439"/>
      <c r="R16" s="777"/>
      <c r="S16" s="440"/>
    </row>
    <row r="17" spans="2:16" ht="20.25" thickBot="1" x14ac:dyDescent="0.4">
      <c r="B17" s="808" t="s">
        <v>265</v>
      </c>
      <c r="C17" s="794">
        <f>'B1. Resultat beräkning'!D34</f>
        <v>0</v>
      </c>
      <c r="D17" s="489">
        <f>'B1. Resultat beräkning'!F34</f>
        <v>0</v>
      </c>
      <c r="E17" s="809">
        <f>'C2. Inmatning och verifiering'!O$26</f>
        <v>0</v>
      </c>
      <c r="F17" s="810">
        <f>'C2. Inmatning och verifiering'!O$40</f>
        <v>0</v>
      </c>
      <c r="G17" s="810">
        <f>'C2. Inmatning och verifiering'!O$54</f>
        <v>0</v>
      </c>
      <c r="J17" s="783" t="s">
        <v>399</v>
      </c>
      <c r="K17" s="784">
        <f>IFERROR(SUM(K18:K22),0)</f>
        <v>0</v>
      </c>
      <c r="L17" s="784">
        <f t="shared" ref="L17:O17" si="1">IFERROR(SUM(L18:L22),0)</f>
        <v>0</v>
      </c>
      <c r="M17" s="784">
        <f t="shared" si="1"/>
        <v>0</v>
      </c>
      <c r="N17" s="784">
        <f t="shared" si="1"/>
        <v>0</v>
      </c>
      <c r="O17" s="784">
        <f t="shared" si="1"/>
        <v>0</v>
      </c>
      <c r="P17" s="785" t="s">
        <v>394</v>
      </c>
    </row>
    <row r="18" spans="2:16" ht="16.5" thickBot="1" x14ac:dyDescent="0.35">
      <c r="B18" s="811" t="s">
        <v>266</v>
      </c>
      <c r="C18" s="801">
        <f>'B1. Resultat beräkning'!D35</f>
        <v>0</v>
      </c>
      <c r="D18" s="802">
        <f>'B1. Resultat beräkning'!F35</f>
        <v>0</v>
      </c>
      <c r="E18" s="812">
        <f>'C2. Inmatning och verifiering'!P$26</f>
        <v>0</v>
      </c>
      <c r="F18" s="813">
        <f>'C2. Inmatning och verifiering'!P$40</f>
        <v>0</v>
      </c>
      <c r="G18" s="813">
        <f>'C2. Inmatning och verifiering'!P$54</f>
        <v>0</v>
      </c>
      <c r="I18" s="785" t="s">
        <v>395</v>
      </c>
      <c r="J18" s="814" t="s">
        <v>396</v>
      </c>
      <c r="K18" s="790">
        <f>IFERROR((C$11/$C$7*$I$4+(C$12+C$13+C$14)/$C$7*$I$5)/$C$6,0)</f>
        <v>0</v>
      </c>
      <c r="L18" s="791">
        <f>IFERROR((D$11/$C$7*$I$4+(D$12+D$13+D$14)/$C$7*$I$5)/$C$6,0)</f>
        <v>0</v>
      </c>
      <c r="M18" s="791">
        <f>IFERROR((E$11/$C$7*$I$4+(E$12+E$13+E$14)/$C$7*$I$5)/$C$6,0)</f>
        <v>0</v>
      </c>
      <c r="N18" s="791">
        <f>IFERROR((F$11/$C$7*$I$4+(F$12+F$13+F$14)/$C$7*$I$5)/$C$6,0)</f>
        <v>0</v>
      </c>
      <c r="O18" s="792">
        <f>IFERROR((G$11/$C$7*$I$4+(G$12+G$13+G$14)/$C$7*$I$5)/$C$6,0)</f>
        <v>0</v>
      </c>
      <c r="P18" s="785"/>
    </row>
    <row r="19" spans="2:16" ht="15.75" x14ac:dyDescent="0.3">
      <c r="B19" s="815" t="s">
        <v>267</v>
      </c>
      <c r="C19" s="787">
        <f>'B1. Resultat beräkning'!D36</f>
        <v>0</v>
      </c>
      <c r="D19" s="482">
        <f>'B1. Resultat beräkning'!F36</f>
        <v>0</v>
      </c>
      <c r="E19" s="816">
        <f>IF('C2. Inmatning och verifiering'!S26=0,0,'C2. Inmatning och verifiering'!$AH$5*'C2. Inmatning och verifiering'!$W$4)</f>
        <v>0</v>
      </c>
      <c r="F19" s="817">
        <f>IF('C2. Inmatning och verifiering'!S40=0,0,'C2. Inmatning och verifiering'!$AH$5*'C2. Inmatning och verifiering'!$W$4)</f>
        <v>0</v>
      </c>
      <c r="G19" s="817">
        <f>IF('C2. Inmatning och verifiering'!S54=0,0,'C2. Inmatning och verifiering'!$AH$5*'C2. Inmatning och verifiering'!$W$4)</f>
        <v>0</v>
      </c>
      <c r="H19" s="95" t="s">
        <v>400</v>
      </c>
      <c r="I19" s="785"/>
      <c r="J19" s="814" t="s">
        <v>397</v>
      </c>
      <c r="K19" s="797">
        <f>IFERROR((C$15*$I$4+(C$16+C$17+C$18)*$I$5)/$C$6,0)</f>
        <v>0</v>
      </c>
      <c r="L19" s="798">
        <f>IFERROR((D$15*$I$4+(D$16+D$17+D$18)*$I$5)/$C$6,0)</f>
        <v>0</v>
      </c>
      <c r="M19" s="798">
        <f>IFERROR((E$15*$I$4+(E$16+E$17+E$18)*$I$5)/$C$6,0)</f>
        <v>0</v>
      </c>
      <c r="N19" s="798">
        <f>IFERROR((F$15*$I$4+(F$16+F$17+F$18)*$I$5)/$C$6,0)</f>
        <v>0</v>
      </c>
      <c r="O19" s="799">
        <f>IFERROR((G$15*$I$4+(G$16+G$17+G$18)*$I$5)/$C$6,0)</f>
        <v>0</v>
      </c>
      <c r="P19" s="785"/>
    </row>
    <row r="20" spans="2:16" ht="15.75" x14ac:dyDescent="0.3">
      <c r="B20" s="818" t="s">
        <v>268</v>
      </c>
      <c r="C20" s="794">
        <f>'B1. Resultat beräkning'!D37</f>
        <v>0</v>
      </c>
      <c r="D20" s="489">
        <f>'B1. Resultat beräkning'!F37</f>
        <v>0</v>
      </c>
      <c r="E20" s="819">
        <f>IF('C2. Inmatning och verifiering'!R26=0,0,'C2. Inmatning och verifiering'!$AH$5*'C2. Inmatning och verifiering'!$W$4)</f>
        <v>0</v>
      </c>
      <c r="F20" s="820">
        <f>IF('C2. Inmatning och verifiering'!R40=0,0,'C2. Inmatning och verifiering'!$AH$6*'C2. Inmatning och verifiering'!$W$4)</f>
        <v>0</v>
      </c>
      <c r="G20" s="820">
        <f>IF('C2. Inmatning och verifiering'!R54=0,0,'C2. Inmatning och verifiering'!$AH$7*'C2. Inmatning och verifiering'!$W$4)</f>
        <v>0</v>
      </c>
      <c r="I20" s="785"/>
      <c r="J20" s="814" t="s">
        <v>398</v>
      </c>
      <c r="K20" s="797">
        <f>IFERROR(($C$19*$I$4+($C$20+$C$21+$C$22)*$I$5)/$C$6,0)</f>
        <v>0</v>
      </c>
      <c r="L20" s="798">
        <f>IFERROR(($D$19*$I$4+($D$20+$D$21+$D$22)*$I$5)/$C$6,0)</f>
        <v>0</v>
      </c>
      <c r="M20" s="798">
        <f>IFERROR(($E$19*$I$4+($E$20+$E$21+$E$22)*$I$5)/$C$6,0)</f>
        <v>0</v>
      </c>
      <c r="N20" s="798">
        <f>IFERROR(($F$19*$I$4+($F$20+$F$21+$F$22)*$I$5)/$C$6,0)</f>
        <v>0</v>
      </c>
      <c r="O20" s="799">
        <f>IFERROR(($G$19*$I$4+($G$20+$G$21+$G$22)*$I$5)/$C$6,0)</f>
        <v>0</v>
      </c>
      <c r="P20" s="785"/>
    </row>
    <row r="21" spans="2:16" ht="15.75" x14ac:dyDescent="0.3">
      <c r="B21" s="818" t="s">
        <v>269</v>
      </c>
      <c r="C21" s="794">
        <f>'B1. Resultat beräkning'!D38</f>
        <v>0</v>
      </c>
      <c r="D21" s="489">
        <f>'B1. Resultat beräkning'!F38</f>
        <v>0</v>
      </c>
      <c r="E21" s="819">
        <f>IF('C2. Inmatning och verifiering'!T26=0,0,'C2. Inmatning och verifiering'!$AH$5*'C2. Inmatning och verifiering'!$W$4)</f>
        <v>0</v>
      </c>
      <c r="F21" s="820">
        <f>IF('C2. Inmatning och verifiering'!T40=0,0,'C2. Inmatning och verifiering'!$AH$6*'C2. Inmatning och verifiering'!$W$4)</f>
        <v>0</v>
      </c>
      <c r="G21" s="820">
        <f>IF('C2. Inmatning och verifiering'!T54=0,0,'C2. Inmatning och verifiering'!$AH$7*'C2. Inmatning och verifiering'!$W$4)</f>
        <v>0</v>
      </c>
      <c r="I21" s="785"/>
      <c r="J21" s="814" t="s">
        <v>120</v>
      </c>
      <c r="K21" s="797">
        <f>IFERROR((IF($C$5="J",1,1.875)*C$23*$I$4+(C$24+C$25+C$26+C$27)*$I$5)/$C$6,0)</f>
        <v>0</v>
      </c>
      <c r="L21" s="798">
        <f>IFERROR((IF($D$5="J",1,1.875)*D$23*$I$4+(D$24+D$25+D$26+D$27)*$I$5)/$C$6,0)</f>
        <v>0</v>
      </c>
      <c r="M21" s="798">
        <f>IFERROR((IF($D$5="J",1,1.875)*E$23*$I$4+(E$24+E$25+E$26+E$27)*$I$5)/$C$6,0)</f>
        <v>0</v>
      </c>
      <c r="N21" s="798">
        <f>IFERROR((IF($D$5="J",1,1.875)*F$23*$I$4+(F$24+F$25+F$26+F$27)*$I$5)/$C$6,0)</f>
        <v>0</v>
      </c>
      <c r="O21" s="799">
        <f>IFERROR((IF($D$5="J",1,1.875)*G$23*$I$4+(G$24+G$25+G$26+G$27)*$I$5)/$C$6,0)</f>
        <v>0</v>
      </c>
      <c r="P21" s="785"/>
    </row>
    <row r="22" spans="2:16" ht="16.5" thickBot="1" x14ac:dyDescent="0.35">
      <c r="B22" s="821" t="s">
        <v>270</v>
      </c>
      <c r="C22" s="801">
        <f>'B1. Resultat beräkning'!D39</f>
        <v>0</v>
      </c>
      <c r="D22" s="802">
        <f>'B1. Resultat beräkning'!F39</f>
        <v>0</v>
      </c>
      <c r="E22" s="822">
        <f>IF('C2. Inmatning och verifiering'!U26=0,0,'C2. Inmatning och verifiering'!$AH$5*'C2. Inmatning och verifiering'!$W$4)</f>
        <v>0</v>
      </c>
      <c r="F22" s="823">
        <f>IF('C2. Inmatning och verifiering'!U40=0,0,'C2. Inmatning och verifiering'!$AH$6*'C2. Inmatning och verifiering'!$W$4)</f>
        <v>0</v>
      </c>
      <c r="G22" s="823">
        <f>IF('C2. Inmatning och verifiering'!U54=0,0,'C2. Inmatning och verifiering'!$AH$7*'C2. Inmatning och verifiering'!$W$4)</f>
        <v>0</v>
      </c>
      <c r="I22" s="785"/>
      <c r="J22" s="814" t="s">
        <v>122</v>
      </c>
      <c r="K22" s="545">
        <f>IFERROR((C$28*$I$4+(C$29+C$30+C$31)*$I$5)/$C$6,0)</f>
        <v>0</v>
      </c>
      <c r="L22" s="806">
        <f>IFERROR((D$28*$I$4+(D$29+D$30+D$31)*$I$5)/$C$6,0)</f>
        <v>0</v>
      </c>
      <c r="M22" s="806">
        <f>IFERROR((E$28*$I$4+(E$29+E$30+E$31)*$I$5)/$C$6,0)</f>
        <v>0</v>
      </c>
      <c r="N22" s="806">
        <f>IFERROR((F$28*$I$4+(F$29+F$30+F$31)*$I$5)/$C$6,0)</f>
        <v>0</v>
      </c>
      <c r="O22" s="807">
        <f>IFERROR((G$28*$I$4+(G$29+G$30+G$31)*$I$5)/$C$6,0)</f>
        <v>0</v>
      </c>
      <c r="P22" s="785"/>
    </row>
    <row r="23" spans="2:16" ht="16.5" thickBot="1" x14ac:dyDescent="0.35">
      <c r="B23" s="824" t="s">
        <v>246</v>
      </c>
      <c r="C23" s="787">
        <f>'B1. Resultat beräkning'!D40</f>
        <v>0</v>
      </c>
      <c r="D23" s="482">
        <f>'B1. Resultat beräkning'!F40</f>
        <v>0</v>
      </c>
      <c r="E23" s="809">
        <f>'C2. Inmatning och verifiering'!$AU26</f>
        <v>0</v>
      </c>
      <c r="F23" s="810">
        <f>'C2. Inmatning och verifiering'!$AU40</f>
        <v>0</v>
      </c>
      <c r="G23" s="810">
        <f>'C2. Inmatning och verifiering'!$AU54</f>
        <v>0</v>
      </c>
    </row>
    <row r="24" spans="2:16" ht="20.25" thickBot="1" x14ac:dyDescent="0.4">
      <c r="B24" s="825" t="s">
        <v>271</v>
      </c>
      <c r="C24" s="794">
        <f>'B1. Resultat beräkning'!D41</f>
        <v>0</v>
      </c>
      <c r="D24" s="489">
        <f>'B1. Resultat beräkning'!F41</f>
        <v>0</v>
      </c>
      <c r="E24" s="795">
        <f>'C2. Inmatning och verifiering'!$AT26</f>
        <v>0</v>
      </c>
      <c r="F24" s="796">
        <f>'C2. Inmatning och verifiering'!$AT40</f>
        <v>0</v>
      </c>
      <c r="G24" s="796">
        <f>'C2. Inmatning och verifiering'!$AT54</f>
        <v>0</v>
      </c>
      <c r="J24" s="783" t="s">
        <v>401</v>
      </c>
      <c r="K24" s="784">
        <f t="shared" ref="K24:O24" si="2">IFERROR(SUM(K25:K29),0)</f>
        <v>0</v>
      </c>
      <c r="L24" s="784">
        <f t="shared" si="2"/>
        <v>0</v>
      </c>
      <c r="M24" s="784">
        <f t="shared" si="2"/>
        <v>0</v>
      </c>
      <c r="N24" s="784">
        <f t="shared" si="2"/>
        <v>0</v>
      </c>
      <c r="O24" s="784">
        <f t="shared" si="2"/>
        <v>0</v>
      </c>
      <c r="P24" s="785" t="s">
        <v>394</v>
      </c>
    </row>
    <row r="25" spans="2:16" ht="15.75" x14ac:dyDescent="0.3">
      <c r="B25" s="825" t="s">
        <v>272</v>
      </c>
      <c r="C25" s="794">
        <f>'B1. Resultat beräkning'!D42</f>
        <v>0</v>
      </c>
      <c r="D25" s="489">
        <f>'B1. Resultat beräkning'!F42</f>
        <v>0</v>
      </c>
      <c r="E25" s="942"/>
      <c r="F25" s="943"/>
      <c r="G25" s="943"/>
      <c r="I25" s="115" t="s">
        <v>395</v>
      </c>
      <c r="J25" s="451" t="s">
        <v>396</v>
      </c>
      <c r="K25" s="790">
        <f>IFERROR(SUM(C11:C14)/$C$6,0)</f>
        <v>0</v>
      </c>
      <c r="L25" s="791">
        <f t="shared" ref="L25:O25" si="3">IFERROR(SUM(D11:D14)/$C$6,0)</f>
        <v>0</v>
      </c>
      <c r="M25" s="791">
        <f t="shared" si="3"/>
        <v>0</v>
      </c>
      <c r="N25" s="791">
        <f t="shared" si="3"/>
        <v>0</v>
      </c>
      <c r="O25" s="792">
        <f t="shared" si="3"/>
        <v>0</v>
      </c>
    </row>
    <row r="26" spans="2:16" ht="15.75" x14ac:dyDescent="0.3">
      <c r="B26" s="825" t="s">
        <v>273</v>
      </c>
      <c r="C26" s="794">
        <f>'B1. Resultat beräkning'!D43</f>
        <v>0</v>
      </c>
      <c r="D26" s="489">
        <f>'B1. Resultat beräkning'!F43</f>
        <v>0</v>
      </c>
      <c r="E26" s="942"/>
      <c r="F26" s="943"/>
      <c r="G26" s="943"/>
      <c r="I26" s="115"/>
      <c r="J26" s="451" t="s">
        <v>397</v>
      </c>
      <c r="K26" s="797">
        <f>IFERROR(SUM(C15:C18)/$C$6,0)</f>
        <v>0</v>
      </c>
      <c r="L26" s="798">
        <f t="shared" ref="L26:O26" si="4">IFERROR(SUM(D15:D18)/$C$6,0)</f>
        <v>0</v>
      </c>
      <c r="M26" s="798">
        <f t="shared" si="4"/>
        <v>0</v>
      </c>
      <c r="N26" s="798">
        <f t="shared" si="4"/>
        <v>0</v>
      </c>
      <c r="O26" s="799">
        <f t="shared" si="4"/>
        <v>0</v>
      </c>
    </row>
    <row r="27" spans="2:16" ht="16.5" thickBot="1" x14ac:dyDescent="0.35">
      <c r="B27" s="826" t="s">
        <v>274</v>
      </c>
      <c r="C27" s="801">
        <f>'B1. Resultat beräkning'!D44</f>
        <v>0</v>
      </c>
      <c r="D27" s="802">
        <f>'B1. Resultat beräkning'!F44</f>
        <v>0</v>
      </c>
      <c r="E27" s="944"/>
      <c r="F27" s="945"/>
      <c r="G27" s="945"/>
      <c r="I27" s="115"/>
      <c r="J27" s="451" t="s">
        <v>398</v>
      </c>
      <c r="K27" s="797">
        <f>IFERROR(SUM(C19:C22)/$C$6,0)</f>
        <v>0</v>
      </c>
      <c r="L27" s="798">
        <f t="shared" ref="L27:O27" si="5">IFERROR(SUM(D19:D22)/$C$6,0)</f>
        <v>0</v>
      </c>
      <c r="M27" s="798">
        <f t="shared" si="5"/>
        <v>0</v>
      </c>
      <c r="N27" s="798">
        <f t="shared" si="5"/>
        <v>0</v>
      </c>
      <c r="O27" s="799">
        <f t="shared" si="5"/>
        <v>0</v>
      </c>
    </row>
    <row r="28" spans="2:16" ht="15.75" x14ac:dyDescent="0.3">
      <c r="B28" s="827" t="s">
        <v>275</v>
      </c>
      <c r="C28" s="787">
        <f>'B1. Resultat beräkning'!D45</f>
        <v>0</v>
      </c>
      <c r="D28" s="482">
        <f>'B1. Resultat beräkning'!F45</f>
        <v>0</v>
      </c>
      <c r="E28" s="809">
        <f>'C2. Inmatning och verifiering'!$AK26</f>
        <v>0</v>
      </c>
      <c r="F28" s="810">
        <f>'C2. Inmatning och verifiering'!$AK40</f>
        <v>0</v>
      </c>
      <c r="G28" s="810">
        <f>'C2. Inmatning och verifiering'!$AK54</f>
        <v>0</v>
      </c>
      <c r="I28" s="115"/>
      <c r="J28" s="451" t="s">
        <v>120</v>
      </c>
      <c r="K28" s="797">
        <f>IFERROR(SUM(C23:C27)/$C$6,0)</f>
        <v>0</v>
      </c>
      <c r="L28" s="798">
        <f t="shared" ref="L28:O28" si="6">IFERROR(SUM(D23:D27)/$C$6,0)</f>
        <v>0</v>
      </c>
      <c r="M28" s="798">
        <f t="shared" si="6"/>
        <v>0</v>
      </c>
      <c r="N28" s="798">
        <f t="shared" si="6"/>
        <v>0</v>
      </c>
      <c r="O28" s="799">
        <f t="shared" si="6"/>
        <v>0</v>
      </c>
    </row>
    <row r="29" spans="2:16" ht="16.5" thickBot="1" x14ac:dyDescent="0.35">
      <c r="B29" s="828" t="s">
        <v>276</v>
      </c>
      <c r="C29" s="794">
        <f>'B1. Resultat beräkning'!D46</f>
        <v>0</v>
      </c>
      <c r="D29" s="489">
        <f>'B1. Resultat beräkning'!F46</f>
        <v>0</v>
      </c>
      <c r="E29" s="942"/>
      <c r="F29" s="943"/>
      <c r="G29" s="943"/>
      <c r="I29" s="115"/>
      <c r="J29" s="451" t="s">
        <v>122</v>
      </c>
      <c r="K29" s="545">
        <f>IFERROR(SUM(C28:C31)/$C$6,0)</f>
        <v>0</v>
      </c>
      <c r="L29" s="806">
        <f t="shared" ref="L29:O29" si="7">IFERROR(SUM(D28:D31)/$C$6,0)</f>
        <v>0</v>
      </c>
      <c r="M29" s="806">
        <f t="shared" si="7"/>
        <v>0</v>
      </c>
      <c r="N29" s="806">
        <f t="shared" si="7"/>
        <v>0</v>
      </c>
      <c r="O29" s="807">
        <f t="shared" si="7"/>
        <v>0</v>
      </c>
    </row>
    <row r="30" spans="2:16" ht="15.75" x14ac:dyDescent="0.3">
      <c r="B30" s="828" t="s">
        <v>277</v>
      </c>
      <c r="C30" s="794">
        <f>'B1. Resultat beräkning'!D47</f>
        <v>0</v>
      </c>
      <c r="D30" s="489">
        <f>'B1. Resultat beräkning'!F47</f>
        <v>0</v>
      </c>
      <c r="E30" s="942"/>
      <c r="F30" s="943"/>
      <c r="G30" s="943"/>
    </row>
    <row r="31" spans="2:16" ht="16.5" thickBot="1" x14ac:dyDescent="0.35">
      <c r="B31" s="828" t="s">
        <v>278</v>
      </c>
      <c r="C31" s="801">
        <f>'B1. Resultat beräkning'!D48</f>
        <v>0</v>
      </c>
      <c r="D31" s="802">
        <f>'B1. Resultat beräkning'!F48</f>
        <v>0</v>
      </c>
      <c r="E31" s="942"/>
      <c r="F31" s="943"/>
      <c r="G31" s="943"/>
    </row>
    <row r="32" spans="2:16" ht="16.5" thickBot="1" x14ac:dyDescent="0.35">
      <c r="B32" s="946" t="s">
        <v>279</v>
      </c>
      <c r="C32" s="947">
        <f>SUM(C11:C31)</f>
        <v>0</v>
      </c>
      <c r="D32" s="948">
        <f>SUM(D11:D31)</f>
        <v>0</v>
      </c>
      <c r="E32" s="949">
        <f>SUM(E11:E31)</f>
        <v>0</v>
      </c>
      <c r="F32" s="949">
        <f>SUM(F12:F31)</f>
        <v>0</v>
      </c>
      <c r="G32" s="949">
        <f>SUM(G11:G31)</f>
        <v>0</v>
      </c>
    </row>
  </sheetData>
  <sheetProtection algorithmName="SHA-512" hashValue="URRtgrwHwWkVpf+2mLYQDIzCmAXh+S29KRu3eXzlP9LMGbgcfmRSYj7qCHSGPdEpxiIfOsJevd/zyUDC0kvKqw==" saltValue="zonI3Fr2gBACTjlN8YkR4g==" spinCount="100000" sheet="1" objects="1" scenarios="1"/>
  <pageMargins left="0.7" right="0.7" top="0.75" bottom="0.75" header="0.3" footer="0.3"/>
  <pageSetup paperSize="9"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AB45-35A6-43FC-8566-21E4F5559A91}">
  <dimension ref="A1:X81"/>
  <sheetViews>
    <sheetView zoomScale="80" zoomScaleNormal="80" workbookViewId="0">
      <selection activeCell="I29" sqref="I29"/>
    </sheetView>
  </sheetViews>
  <sheetFormatPr defaultRowHeight="15" x14ac:dyDescent="0.25"/>
  <cols>
    <col min="1" max="1" width="1.85546875" customWidth="1"/>
    <col min="2" max="2" width="4.5703125" customWidth="1"/>
    <col min="3" max="3" width="68.140625" customWidth="1"/>
    <col min="4" max="5" width="15.7109375" customWidth="1"/>
    <col min="6" max="6" width="16.42578125" customWidth="1"/>
    <col min="7" max="7" width="15.7109375" customWidth="1"/>
  </cols>
  <sheetData>
    <row r="1" spans="1:24" x14ac:dyDescent="0.25">
      <c r="A1" s="858"/>
      <c r="B1" s="859"/>
      <c r="C1" s="859"/>
      <c r="D1" s="858"/>
      <c r="E1" s="858"/>
      <c r="F1" s="858"/>
      <c r="G1" s="858"/>
      <c r="H1" s="858"/>
      <c r="I1" s="859"/>
      <c r="J1" s="859"/>
      <c r="K1" s="858"/>
      <c r="L1" s="858"/>
      <c r="M1" s="858"/>
      <c r="N1" s="858"/>
      <c r="O1" s="858"/>
      <c r="P1" s="858"/>
      <c r="Q1" s="858"/>
      <c r="R1" s="869"/>
      <c r="S1" s="869"/>
      <c r="T1" s="869"/>
      <c r="U1" s="869"/>
      <c r="V1" s="869"/>
      <c r="W1" s="869"/>
      <c r="X1" s="869"/>
    </row>
    <row r="2" spans="1:24" ht="57" customHeight="1" thickBot="1" x14ac:dyDescent="0.3">
      <c r="A2" s="858"/>
      <c r="B2" s="859"/>
      <c r="C2" s="1250" t="s">
        <v>402</v>
      </c>
      <c r="D2" s="1251"/>
      <c r="E2" s="1252"/>
      <c r="F2" s="1252"/>
      <c r="G2" s="1252"/>
      <c r="H2" s="858"/>
      <c r="I2" s="859"/>
      <c r="J2" s="1250"/>
      <c r="K2" s="1251"/>
      <c r="L2" s="1252"/>
      <c r="M2" s="1252"/>
      <c r="N2" s="1252"/>
      <c r="O2" s="858"/>
      <c r="P2" s="858"/>
      <c r="Q2" s="858"/>
      <c r="R2" s="869"/>
      <c r="S2" s="869"/>
      <c r="T2" s="869"/>
      <c r="U2" s="869"/>
      <c r="V2" s="869"/>
      <c r="W2" s="869"/>
      <c r="X2" s="869"/>
    </row>
    <row r="3" spans="1:24" ht="44.25" customHeight="1" x14ac:dyDescent="0.25">
      <c r="A3" s="858"/>
      <c r="B3" s="1253" t="s">
        <v>403</v>
      </c>
      <c r="C3" s="1255" t="s">
        <v>404</v>
      </c>
      <c r="D3" s="890" t="s">
        <v>405</v>
      </c>
      <c r="E3" s="890" t="s">
        <v>406</v>
      </c>
      <c r="F3" s="890" t="s">
        <v>407</v>
      </c>
      <c r="G3" s="890" t="s">
        <v>13</v>
      </c>
      <c r="H3" s="858"/>
      <c r="I3" s="1253" t="s">
        <v>403</v>
      </c>
      <c r="J3" s="1255" t="s">
        <v>404</v>
      </c>
      <c r="K3" s="890" t="s">
        <v>405</v>
      </c>
      <c r="L3" s="890" t="s">
        <v>406</v>
      </c>
      <c r="M3" s="890" t="s">
        <v>407</v>
      </c>
      <c r="N3" s="890" t="s">
        <v>13</v>
      </c>
      <c r="O3" s="858"/>
      <c r="P3" s="858"/>
      <c r="Q3" s="858"/>
      <c r="R3" s="869"/>
      <c r="S3" s="869"/>
      <c r="T3" s="869"/>
      <c r="U3" s="869"/>
      <c r="V3" s="869"/>
      <c r="W3" s="869"/>
      <c r="X3" s="869"/>
    </row>
    <row r="4" spans="1:24" ht="19.5" customHeight="1" thickBot="1" x14ac:dyDescent="0.3">
      <c r="A4" s="858"/>
      <c r="B4" s="1254"/>
      <c r="C4" s="1256"/>
      <c r="D4" s="889" t="s">
        <v>408</v>
      </c>
      <c r="E4" s="885" t="s">
        <v>408</v>
      </c>
      <c r="F4" s="885" t="s">
        <v>408</v>
      </c>
      <c r="G4" s="889" t="s">
        <v>408</v>
      </c>
      <c r="H4" s="858"/>
      <c r="I4" s="1254"/>
      <c r="J4" s="1256"/>
      <c r="K4" s="889" t="s">
        <v>408</v>
      </c>
      <c r="L4" s="885" t="s">
        <v>408</v>
      </c>
      <c r="M4" s="885" t="s">
        <v>408</v>
      </c>
      <c r="N4" s="889" t="s">
        <v>408</v>
      </c>
      <c r="O4" s="858"/>
      <c r="P4" s="858"/>
      <c r="Q4" s="858"/>
      <c r="R4" s="869"/>
      <c r="S4" s="869"/>
      <c r="T4" s="869"/>
      <c r="U4" s="869"/>
      <c r="V4" s="869"/>
      <c r="W4" s="869"/>
      <c r="X4" s="869"/>
    </row>
    <row r="5" spans="1:24" ht="19.5" customHeight="1" x14ac:dyDescent="0.25">
      <c r="A5" s="858"/>
      <c r="B5" s="876">
        <v>1</v>
      </c>
      <c r="C5" s="862" t="s">
        <v>409</v>
      </c>
      <c r="D5" s="873">
        <f>IFERROR('B1. Resultat beräkning'!D29/'A. Byggnadsinfo med BBR'!D43,0)</f>
        <v>0</v>
      </c>
      <c r="E5" s="873">
        <f>IFERROR('B1. Resultat beräkning'!E29/'A. Byggnadsinfo med BBR'!D43,0)</f>
        <v>0</v>
      </c>
      <c r="F5" s="873">
        <f>IFERROR('B1. Resultat beräkning'!F29/'A. Byggnadsinfo med BBR'!E43,0)</f>
        <v>0</v>
      </c>
      <c r="G5" s="873">
        <f>IFERROR(PETberäkning!E12/'A. Byggnadsinfo med BBR'!E43,0)</f>
        <v>0</v>
      </c>
      <c r="H5" s="858"/>
      <c r="I5" s="876">
        <v>1</v>
      </c>
      <c r="J5" s="862" t="s">
        <v>409</v>
      </c>
      <c r="K5" s="873">
        <f>IFERROR('B1. Resultat beräkning'!K29/'A. Byggnadsinfo med BBR'!K43,0)</f>
        <v>0</v>
      </c>
      <c r="L5" s="873">
        <f>IFERROR('B1. Resultat beräkning'!L29/'A. Byggnadsinfo med BBR'!K43,0)</f>
        <v>0</v>
      </c>
      <c r="M5" s="873">
        <f>IFERROR('B1. Resultat beräkning'!M29/'A. Byggnadsinfo med BBR'!L43,0)</f>
        <v>0</v>
      </c>
      <c r="N5" s="873">
        <f>IFERROR(PETberäkning!L12/'A. Byggnadsinfo med BBR'!L43,0)</f>
        <v>0</v>
      </c>
      <c r="O5" s="858"/>
      <c r="P5" s="858"/>
      <c r="Q5" s="858"/>
      <c r="R5" s="869"/>
      <c r="S5" s="869"/>
      <c r="T5" s="869"/>
      <c r="U5" s="869"/>
      <c r="V5" s="869"/>
      <c r="W5" s="869"/>
      <c r="X5" s="869"/>
    </row>
    <row r="6" spans="1:24" ht="19.5" customHeight="1" x14ac:dyDescent="0.25">
      <c r="A6" s="858"/>
      <c r="B6" s="877">
        <v>2</v>
      </c>
      <c r="C6" s="904" t="s">
        <v>410</v>
      </c>
      <c r="D6" s="910">
        <f>IFERROR(('B1. Resultat beräkning'!D28+'B1. Resultat beräkning'!D32)*'C2. Inmatning och verifiering'!W6/'A. Byggnadsinfo med BBR'!D43,0)</f>
        <v>0</v>
      </c>
      <c r="E6" s="910">
        <f>IFERROR(('B1. Resultat beräkning'!E28+'B1. Resultat beräkning'!E32)*'C2. Inmatning och verifiering'!W6/'A. Byggnadsinfo med BBR'!D43,0)</f>
        <v>0</v>
      </c>
      <c r="F6" s="910">
        <f>IFERROR(('B1. Resultat beräkning'!F28+'B1. Resultat beräkning'!F32)*'C2. Inmatning och verifiering'!W6/'A. Byggnadsinfo med BBR'!E43,0)</f>
        <v>0</v>
      </c>
      <c r="G6" s="873">
        <f>IFERROR(PETberäkning!E11*'C2. Inmatning och verifiering'!W6/'A. Byggnadsinfo med BBR'!E43,0)</f>
        <v>0</v>
      </c>
      <c r="H6" s="858"/>
      <c r="I6" s="877">
        <v>2</v>
      </c>
      <c r="J6" s="904" t="s">
        <v>410</v>
      </c>
      <c r="K6" s="910">
        <f>IFERROR(('B1. Resultat beräkning'!K28+'B1. Resultat beräkning'!K32)*'C2. Inmatning och verifiering'!AD6/'A. Byggnadsinfo med BBR'!K43,0)</f>
        <v>0</v>
      </c>
      <c r="L6" s="910">
        <f>IFERROR(('B1. Resultat beräkning'!L28+'B1. Resultat beräkning'!L32)*'C2. Inmatning och verifiering'!AD6/'A. Byggnadsinfo med BBR'!K43,0)</f>
        <v>0</v>
      </c>
      <c r="M6" s="910">
        <f>IFERROR(('B1. Resultat beräkning'!M28+'B1. Resultat beräkning'!M32)*'C2. Inmatning och verifiering'!AD6/'A. Byggnadsinfo med BBR'!L43,0)</f>
        <v>0</v>
      </c>
      <c r="N6" s="873">
        <f>IFERROR(PETberäkning!L11*'C2. Inmatning och verifiering'!AD6/'A. Byggnadsinfo med BBR'!L43,0)</f>
        <v>0</v>
      </c>
      <c r="O6" s="858"/>
      <c r="P6" s="858"/>
      <c r="Q6" s="858"/>
      <c r="R6" s="869"/>
      <c r="S6" s="869"/>
      <c r="T6" s="869"/>
      <c r="U6" s="869"/>
      <c r="V6" s="869"/>
      <c r="W6" s="869"/>
      <c r="X6" s="869"/>
    </row>
    <row r="7" spans="1:24" ht="19.5" customHeight="1" x14ac:dyDescent="0.25">
      <c r="A7" s="858"/>
      <c r="B7" s="877">
        <v>3</v>
      </c>
      <c r="C7" s="862" t="s">
        <v>411</v>
      </c>
      <c r="D7" s="873">
        <f>IFERROR(('B1. Resultat beräkning'!D30+'B1. Resultat beräkning'!D31)/'A. Byggnadsinfo med BBR'!D43,0)</f>
        <v>0</v>
      </c>
      <c r="E7" s="873">
        <f>IFERROR(('B1. Resultat beräkning'!E30+'B1. Resultat beräkning'!E31)/'A. Byggnadsinfo med BBR'!D43,0)</f>
        <v>0</v>
      </c>
      <c r="F7" s="873">
        <f>IFERROR(('B1. Resultat beräkning'!F30+'B1. Resultat beräkning'!F31)/'A. Byggnadsinfo med BBR'!E43,0)</f>
        <v>0</v>
      </c>
      <c r="G7" s="873">
        <f>IFERROR((PETberäkning!E13+PETberäkning!E14)/'A. Byggnadsinfo med BBR'!E43,0)</f>
        <v>0</v>
      </c>
      <c r="H7" s="858"/>
      <c r="I7" s="877">
        <v>3</v>
      </c>
      <c r="J7" s="862" t="s">
        <v>411</v>
      </c>
      <c r="K7" s="873">
        <f>IFERROR(('B1. Resultat beräkning'!K30+'B1. Resultat beräkning'!K31)/'A. Byggnadsinfo med BBR'!K43,0)</f>
        <v>0</v>
      </c>
      <c r="L7" s="873">
        <f>IFERROR(('B1. Resultat beräkning'!L30+'B1. Resultat beräkning'!L31)/'A. Byggnadsinfo med BBR'!K43,0)</f>
        <v>0</v>
      </c>
      <c r="M7" s="873">
        <f>IFERROR(('B1. Resultat beräkning'!M30+'B1. Resultat beräkning'!M31)/'A. Byggnadsinfo med BBR'!L43,0)</f>
        <v>0</v>
      </c>
      <c r="N7" s="873">
        <f>IFERROR((PETberäkning!L13+PETberäkning!L14)/'A. Byggnadsinfo med BBR'!L43,0)</f>
        <v>0</v>
      </c>
      <c r="O7" s="858"/>
      <c r="P7" s="858"/>
      <c r="Q7" s="858"/>
      <c r="R7" s="869"/>
      <c r="S7" s="869"/>
      <c r="T7" s="869"/>
      <c r="U7" s="869"/>
      <c r="V7" s="869"/>
      <c r="W7" s="869"/>
      <c r="X7" s="869"/>
    </row>
    <row r="8" spans="1:24" ht="19.5" customHeight="1" x14ac:dyDescent="0.25">
      <c r="A8" s="858"/>
      <c r="B8" s="877">
        <v>4</v>
      </c>
      <c r="C8" s="862" t="s">
        <v>412</v>
      </c>
      <c r="D8" s="873">
        <f>'B1. Resultat beräkning'!D8</f>
        <v>0</v>
      </c>
      <c r="E8" s="873">
        <f>'B1. Resultat beräkning'!E8</f>
        <v>0</v>
      </c>
      <c r="F8" s="873">
        <f>'B1. Resultat beräkning'!F8</f>
        <v>0</v>
      </c>
      <c r="G8" s="873">
        <f>IFERROR('C2. Inmatning och verifiering'!AG26/'A. Byggnadsinfo med BBR'!E43,0)</f>
        <v>0</v>
      </c>
      <c r="H8" s="858"/>
      <c r="I8" s="877">
        <v>4</v>
      </c>
      <c r="J8" s="862" t="s">
        <v>412</v>
      </c>
      <c r="K8" s="873">
        <f>'B1. Resultat beräkning'!K8</f>
        <v>0</v>
      </c>
      <c r="L8" s="873">
        <f>'B1. Resultat beräkning'!L8</f>
        <v>0</v>
      </c>
      <c r="M8" s="873">
        <f>'B1. Resultat beräkning'!M8</f>
        <v>0</v>
      </c>
      <c r="N8" s="873">
        <f>IFERROR('C2. Inmatning och verifiering'!AN26/'A. Byggnadsinfo med BBR'!L43,0)</f>
        <v>0</v>
      </c>
      <c r="O8" s="858"/>
      <c r="P8" s="858"/>
      <c r="Q8" s="858"/>
      <c r="R8" s="869"/>
      <c r="S8" s="869"/>
      <c r="T8" s="869"/>
      <c r="U8" s="869"/>
      <c r="V8" s="869"/>
      <c r="W8" s="869"/>
      <c r="X8" s="869"/>
    </row>
    <row r="9" spans="1:24" ht="19.5" customHeight="1" x14ac:dyDescent="0.25">
      <c r="A9" s="858"/>
      <c r="B9" s="877">
        <v>5</v>
      </c>
      <c r="C9" s="863" t="s">
        <v>413</v>
      </c>
      <c r="D9" s="873">
        <f>'B1. Resultat beräkning'!D9</f>
        <v>0</v>
      </c>
      <c r="E9" s="873">
        <f>'B1. Resultat beräkning'!E9</f>
        <v>0</v>
      </c>
      <c r="F9" s="873">
        <f>'B1. Resultat beräkning'!F9</f>
        <v>0</v>
      </c>
      <c r="G9" s="930"/>
      <c r="H9" s="858"/>
      <c r="I9" s="877">
        <v>5</v>
      </c>
      <c r="J9" s="863" t="s">
        <v>413</v>
      </c>
      <c r="K9" s="873">
        <f>'B1. Resultat beräkning'!K9</f>
        <v>0</v>
      </c>
      <c r="L9" s="873">
        <f>'B1. Resultat beräkning'!L9</f>
        <v>0</v>
      </c>
      <c r="M9" s="873">
        <f>'B1. Resultat beräkning'!M9</f>
        <v>0</v>
      </c>
      <c r="N9" s="930"/>
      <c r="O9" s="858"/>
      <c r="P9" s="858"/>
      <c r="Q9" s="858"/>
      <c r="R9" s="869"/>
      <c r="S9" s="869"/>
      <c r="T9" s="869"/>
      <c r="U9" s="869"/>
      <c r="V9" s="869"/>
      <c r="W9" s="869"/>
      <c r="X9" s="869"/>
    </row>
    <row r="10" spans="1:24" ht="19.5" customHeight="1" x14ac:dyDescent="0.25">
      <c r="A10" s="858"/>
      <c r="B10" s="878">
        <v>6</v>
      </c>
      <c r="C10" s="864" t="s">
        <v>244</v>
      </c>
      <c r="D10" s="895">
        <f>'B1. Resultat beräkning'!D10</f>
        <v>0</v>
      </c>
      <c r="E10" s="895">
        <f>'B1. Resultat beräkning'!E10</f>
        <v>0</v>
      </c>
      <c r="F10" s="895">
        <f>'B1. Resultat beräkning'!F10</f>
        <v>0</v>
      </c>
      <c r="G10" s="894"/>
      <c r="H10" s="858"/>
      <c r="I10" s="878">
        <v>6</v>
      </c>
      <c r="J10" s="864" t="s">
        <v>244</v>
      </c>
      <c r="K10" s="895">
        <f>'B1. Resultat beräkning'!K10</f>
        <v>0</v>
      </c>
      <c r="L10" s="895">
        <f>'B1. Resultat beräkning'!L10</f>
        <v>0</v>
      </c>
      <c r="M10" s="895">
        <f>'B1. Resultat beräkning'!M10</f>
        <v>0</v>
      </c>
      <c r="N10" s="894"/>
      <c r="O10" s="858"/>
      <c r="P10" s="858"/>
      <c r="Q10" s="858"/>
      <c r="R10" s="869"/>
      <c r="S10" s="869"/>
      <c r="T10" s="869"/>
      <c r="U10" s="869"/>
      <c r="V10" s="869"/>
      <c r="W10" s="869"/>
      <c r="X10" s="869"/>
    </row>
    <row r="11" spans="1:24" ht="19.5" customHeight="1" thickBot="1" x14ac:dyDescent="0.3">
      <c r="A11" s="858"/>
      <c r="B11" s="879">
        <v>7</v>
      </c>
      <c r="C11" s="865" t="s">
        <v>414</v>
      </c>
      <c r="D11" s="897">
        <f>'B1. Resultat beräkning'!D19</f>
        <v>0</v>
      </c>
      <c r="E11" s="897">
        <f>'B1. Resultat beräkning'!E19</f>
        <v>0</v>
      </c>
      <c r="F11" s="897">
        <f>'B1. Resultat beräkning'!F19</f>
        <v>0</v>
      </c>
      <c r="G11" s="893"/>
      <c r="H11" s="858"/>
      <c r="I11" s="879">
        <v>7</v>
      </c>
      <c r="J11" s="865" t="s">
        <v>414</v>
      </c>
      <c r="K11" s="897">
        <f>'B1. Resultat beräkning'!K19</f>
        <v>0</v>
      </c>
      <c r="L11" s="897">
        <f>'B1. Resultat beräkning'!L19</f>
        <v>0</v>
      </c>
      <c r="M11" s="897">
        <f>'B1. Resultat beräkning'!M19</f>
        <v>0</v>
      </c>
      <c r="N11" s="893"/>
      <c r="O11" s="858"/>
      <c r="P11" s="858"/>
      <c r="Q11" s="858"/>
      <c r="R11" s="869"/>
      <c r="S11" s="869"/>
      <c r="T11" s="869"/>
      <c r="U11" s="869"/>
      <c r="V11" s="869"/>
      <c r="W11" s="869"/>
      <c r="X11" s="869"/>
    </row>
    <row r="12" spans="1:24" ht="19.5" customHeight="1" thickBot="1" x14ac:dyDescent="0.3">
      <c r="A12" s="858"/>
      <c r="B12" s="880"/>
      <c r="C12" s="884" t="s">
        <v>415</v>
      </c>
      <c r="D12" s="882"/>
      <c r="E12" s="882" t="s">
        <v>19</v>
      </c>
      <c r="F12" s="882"/>
      <c r="G12" s="882"/>
      <c r="H12" s="858"/>
      <c r="I12" s="880"/>
      <c r="J12" s="884" t="s">
        <v>415</v>
      </c>
      <c r="K12" s="882"/>
      <c r="L12" s="882" t="s">
        <v>19</v>
      </c>
      <c r="M12" s="882"/>
      <c r="N12" s="882"/>
      <c r="O12" s="858"/>
      <c r="P12" s="858"/>
      <c r="Q12" s="858"/>
      <c r="R12" s="869"/>
      <c r="S12" s="869"/>
      <c r="T12" s="869"/>
      <c r="U12" s="869"/>
      <c r="V12" s="869"/>
      <c r="W12" s="869"/>
      <c r="X12" s="869"/>
    </row>
    <row r="13" spans="1:24" ht="19.5" customHeight="1" x14ac:dyDescent="0.25">
      <c r="A13" s="858"/>
      <c r="B13" s="881">
        <v>8</v>
      </c>
      <c r="C13" s="866" t="s">
        <v>416</v>
      </c>
      <c r="D13" s="873">
        <f>'B1. Resultat beräkning'!D6</f>
        <v>0</v>
      </c>
      <c r="E13" s="873">
        <f>'B1. Resultat beräkning'!E6</f>
        <v>0</v>
      </c>
      <c r="F13" s="873">
        <f>'B1. Resultat beräkning'!F6</f>
        <v>0</v>
      </c>
      <c r="G13" s="873">
        <f>IFERROR(('C2. Inmatning och verifiering'!M26+'C2. Inmatning och verifiering'!N26+'C2. Inmatning och verifiering'!O26+'C2. Inmatning och verifiering'!P26)/'A. Byggnadsinfo med BBR'!E43,0)</f>
        <v>0</v>
      </c>
      <c r="H13" s="858"/>
      <c r="I13" s="881">
        <v>8</v>
      </c>
      <c r="J13" s="866" t="s">
        <v>416</v>
      </c>
      <c r="K13" s="873">
        <f>'B1. Resultat beräkning'!K6</f>
        <v>0</v>
      </c>
      <c r="L13" s="873">
        <f>'B1. Resultat beräkning'!L6</f>
        <v>0</v>
      </c>
      <c r="M13" s="873">
        <f>'B1. Resultat beräkning'!M6</f>
        <v>0</v>
      </c>
      <c r="N13" s="873" t="e">
        <f>('C2. Inmatning och verifiering'!T26+'C2. Inmatning och verifiering'!U26+'C2. Inmatning och verifiering'!V26+'C2. Inmatning och verifiering'!W26)/'A. Byggnadsinfo med BBR'!L43</f>
        <v>#VALUE!</v>
      </c>
      <c r="O13" s="858"/>
      <c r="P13" s="858"/>
      <c r="Q13" s="858"/>
      <c r="R13" s="869"/>
      <c r="S13" s="869"/>
      <c r="T13" s="869"/>
      <c r="U13" s="869"/>
      <c r="V13" s="869"/>
      <c r="W13" s="869"/>
      <c r="X13" s="869"/>
    </row>
    <row r="14" spans="1:24" ht="19.5" customHeight="1" thickBot="1" x14ac:dyDescent="0.3">
      <c r="A14" s="858" t="s">
        <v>417</v>
      </c>
      <c r="B14" s="879">
        <v>9</v>
      </c>
      <c r="C14" s="867" t="s">
        <v>241</v>
      </c>
      <c r="D14" s="896">
        <f>'B1. Resultat beräkning'!D7</f>
        <v>0</v>
      </c>
      <c r="E14" s="896">
        <f>'B1. Resultat beräkning'!E7</f>
        <v>0</v>
      </c>
      <c r="F14" s="896">
        <f>'B1. Resultat beräkning'!F7</f>
        <v>0</v>
      </c>
      <c r="G14" s="898"/>
      <c r="H14" s="858" t="s">
        <v>417</v>
      </c>
      <c r="I14" s="879">
        <v>9</v>
      </c>
      <c r="J14" s="867" t="s">
        <v>241</v>
      </c>
      <c r="K14" s="896">
        <f>'B1. Resultat beräkning'!K7</f>
        <v>0</v>
      </c>
      <c r="L14" s="896">
        <f>'B1. Resultat beräkning'!L7</f>
        <v>0</v>
      </c>
      <c r="M14" s="896">
        <f>'B1. Resultat beräkning'!M7</f>
        <v>0</v>
      </c>
      <c r="N14" s="898"/>
      <c r="O14" s="858"/>
      <c r="P14" s="858"/>
      <c r="Q14" s="858"/>
      <c r="R14" s="869"/>
      <c r="S14" s="869"/>
      <c r="T14" s="869"/>
      <c r="U14" s="869"/>
      <c r="V14" s="869"/>
      <c r="W14" s="869"/>
      <c r="X14" s="869"/>
    </row>
    <row r="15" spans="1:24" ht="24.75" customHeight="1" thickBot="1" x14ac:dyDescent="0.3">
      <c r="A15" s="858"/>
      <c r="B15" s="880">
        <v>10</v>
      </c>
      <c r="C15" s="906" t="s">
        <v>418</v>
      </c>
      <c r="D15" s="874">
        <f>SUM(D5:D11)</f>
        <v>0</v>
      </c>
      <c r="E15" s="874">
        <f>SUM(E5:E11)</f>
        <v>0</v>
      </c>
      <c r="F15" s="874">
        <f>SUM(F5:F11)</f>
        <v>0</v>
      </c>
      <c r="G15" s="874">
        <f>SUM(G5:G9)</f>
        <v>0</v>
      </c>
      <c r="H15" s="858"/>
      <c r="I15" s="880">
        <v>10</v>
      </c>
      <c r="J15" s="906" t="s">
        <v>418</v>
      </c>
      <c r="K15" s="874">
        <f>SUM(K5:K11)</f>
        <v>0</v>
      </c>
      <c r="L15" s="874">
        <f>SUM(L5:L11)</f>
        <v>0</v>
      </c>
      <c r="M15" s="874">
        <f>SUM(M5:M11)</f>
        <v>0</v>
      </c>
      <c r="N15" s="874">
        <f>SUM(N5:N9)</f>
        <v>0</v>
      </c>
      <c r="O15" s="858"/>
      <c r="P15" s="858"/>
      <c r="Q15" s="858"/>
      <c r="R15" s="869"/>
      <c r="S15" s="869"/>
      <c r="T15" s="869"/>
      <c r="U15" s="869"/>
      <c r="V15" s="869"/>
      <c r="W15" s="869"/>
      <c r="X15" s="869"/>
    </row>
    <row r="16" spans="1:24" x14ac:dyDescent="0.25">
      <c r="A16" s="858"/>
      <c r="B16" s="868"/>
      <c r="C16" s="859"/>
      <c r="D16" s="858"/>
      <c r="E16" s="858"/>
      <c r="F16" s="858"/>
      <c r="G16" s="858"/>
      <c r="H16" s="858"/>
      <c r="I16" s="858"/>
      <c r="J16" s="858"/>
      <c r="K16" s="858"/>
      <c r="L16" s="858"/>
      <c r="M16" s="858"/>
      <c r="N16" s="858"/>
      <c r="O16" s="858"/>
      <c r="P16" s="858"/>
      <c r="Q16" s="858"/>
      <c r="R16" s="869"/>
      <c r="S16" s="869"/>
      <c r="T16" s="869"/>
      <c r="U16" s="869"/>
      <c r="V16" s="869"/>
      <c r="W16" s="869"/>
      <c r="X16" s="869"/>
    </row>
    <row r="17" spans="1:24" ht="15.75" thickBot="1" x14ac:dyDescent="0.3">
      <c r="A17" s="858"/>
      <c r="B17" s="868"/>
      <c r="C17" s="859"/>
      <c r="D17" s="858"/>
      <c r="E17" s="858"/>
      <c r="F17" s="858"/>
      <c r="G17" s="858"/>
      <c r="H17" s="858"/>
      <c r="I17" s="858"/>
      <c r="J17" s="858"/>
      <c r="K17" s="858"/>
      <c r="L17" s="858"/>
      <c r="M17" s="858"/>
      <c r="N17" s="858"/>
      <c r="O17" s="858"/>
      <c r="P17" s="858"/>
      <c r="Q17" s="858"/>
      <c r="R17" s="869"/>
      <c r="S17" s="869"/>
      <c r="T17" s="869"/>
      <c r="U17" s="869"/>
      <c r="V17" s="869"/>
      <c r="W17" s="869"/>
      <c r="X17" s="869"/>
    </row>
    <row r="18" spans="1:24" ht="43.5" customHeight="1" x14ac:dyDescent="0.25">
      <c r="A18" s="858"/>
      <c r="B18" s="1253" t="s">
        <v>403</v>
      </c>
      <c r="C18" s="1255" t="s">
        <v>419</v>
      </c>
      <c r="D18" s="890" t="str">
        <f>D3</f>
        <v xml:space="preserve">Beräknat inför startbesked </v>
      </c>
      <c r="E18" s="890" t="str">
        <f>E3</f>
        <v>Uppdaterat inför byggstart</v>
      </c>
      <c r="F18" s="890" t="str">
        <f>F3</f>
        <v>Uppdaterad relationshandling (inför slutbesked)</v>
      </c>
      <c r="G18" s="890" t="str">
        <f>G3</f>
        <v>Verifierat genom mätning</v>
      </c>
      <c r="H18" s="858"/>
      <c r="I18" s="858"/>
      <c r="J18" s="858"/>
      <c r="K18" s="858"/>
      <c r="L18" s="858"/>
      <c r="M18" s="858"/>
      <c r="N18" s="858"/>
      <c r="O18" s="858"/>
      <c r="P18" s="858"/>
      <c r="Q18" s="858"/>
      <c r="R18" s="869"/>
      <c r="S18" s="869"/>
      <c r="T18" s="869"/>
      <c r="U18" s="869"/>
      <c r="V18" s="869"/>
      <c r="W18" s="869"/>
      <c r="X18" s="869"/>
    </row>
    <row r="19" spans="1:24" ht="19.5" customHeight="1" thickBot="1" x14ac:dyDescent="0.3">
      <c r="A19" s="858"/>
      <c r="B19" s="1257"/>
      <c r="C19" s="1258"/>
      <c r="D19" s="889" t="s">
        <v>408</v>
      </c>
      <c r="E19" s="885" t="s">
        <v>408</v>
      </c>
      <c r="F19" s="889" t="s">
        <v>408</v>
      </c>
      <c r="G19" s="889" t="s">
        <v>408</v>
      </c>
      <c r="H19" s="858"/>
      <c r="I19" s="858"/>
      <c r="J19" s="858"/>
      <c r="K19" s="858"/>
      <c r="L19" s="858"/>
      <c r="M19" s="858"/>
      <c r="N19" s="858"/>
      <c r="O19" s="858"/>
      <c r="P19" s="858"/>
      <c r="Q19" s="858"/>
      <c r="R19" s="869"/>
      <c r="S19" s="869"/>
      <c r="T19" s="869"/>
      <c r="U19" s="869"/>
      <c r="V19" s="869"/>
      <c r="W19" s="869"/>
      <c r="X19" s="869"/>
    </row>
    <row r="20" spans="1:24" ht="18.75" customHeight="1" x14ac:dyDescent="0.25">
      <c r="A20" s="858"/>
      <c r="B20" s="886">
        <v>12</v>
      </c>
      <c r="C20" s="875" t="s">
        <v>420</v>
      </c>
      <c r="D20" s="871">
        <f>SUM(D15-D6)</f>
        <v>0</v>
      </c>
      <c r="E20" s="870">
        <f>SUM(E15-E6)</f>
        <v>0</v>
      </c>
      <c r="F20" s="871">
        <f>SUM(F15-F6)</f>
        <v>0</v>
      </c>
      <c r="G20" s="871">
        <f>SUM(G15-G6)</f>
        <v>0</v>
      </c>
      <c r="H20" s="858"/>
      <c r="I20" s="858"/>
      <c r="J20" s="858"/>
      <c r="K20" s="858"/>
      <c r="L20" s="858"/>
      <c r="M20" s="858"/>
      <c r="N20" s="858"/>
      <c r="O20" s="858"/>
      <c r="P20" s="858"/>
      <c r="Q20" s="858"/>
      <c r="R20" s="869"/>
      <c r="S20" s="869"/>
      <c r="T20" s="869"/>
      <c r="U20" s="869"/>
      <c r="V20" s="869"/>
      <c r="W20" s="869"/>
      <c r="X20" s="869"/>
    </row>
    <row r="21" spans="1:24" ht="27" customHeight="1" x14ac:dyDescent="0.25">
      <c r="A21" s="858"/>
      <c r="B21" s="887">
        <v>13</v>
      </c>
      <c r="C21" s="875" t="s">
        <v>421</v>
      </c>
      <c r="D21" s="873">
        <f>IFERROR(('B1. Resultat beräkning'!D37+'B1. Resultat beräkning'!D38+'B1. Resultat beräkning'!D39)/'A. Byggnadsinfo med BBR'!D43,0)</f>
        <v>0</v>
      </c>
      <c r="E21" s="873">
        <f>IFERROR(('B1. Resultat beräkning'!E37+'B1. Resultat beräkning'!E38+'B1. Resultat beräkning'!E39)/'A. Byggnadsinfo med BBR'!D43,0)</f>
        <v>0</v>
      </c>
      <c r="F21" s="873">
        <f>IFERROR(('B1. Resultat beräkning'!F37+'B1. Resultat beräkning'!F38+'B1. Resultat beräkning'!F39)/'A. Byggnadsinfo med BBR'!E43,0)</f>
        <v>0</v>
      </c>
      <c r="G21" s="910">
        <f>IF(('C2. Inmatning och verifiering'!R26+'C2. Inmatning och verifiering'!T26+'C2. Inmatning och verifiering'!U26)&gt;0,'C2. Inmatning och verifiering'!AH5,0)</f>
        <v>0</v>
      </c>
      <c r="H21" s="858"/>
      <c r="I21" s="858"/>
      <c r="J21" s="858"/>
      <c r="K21" s="858"/>
      <c r="L21" s="858"/>
      <c r="M21" s="858"/>
      <c r="N21" s="858"/>
      <c r="O21" s="858"/>
      <c r="P21" s="858"/>
      <c r="Q21" s="858"/>
      <c r="R21" s="869"/>
      <c r="S21" s="869"/>
      <c r="T21" s="869"/>
      <c r="U21" s="869"/>
      <c r="V21" s="869"/>
      <c r="W21" s="869"/>
      <c r="X21" s="869"/>
    </row>
    <row r="22" spans="1:24" ht="18.75" customHeight="1" x14ac:dyDescent="0.25">
      <c r="A22" s="858"/>
      <c r="B22" s="887">
        <v>14</v>
      </c>
      <c r="C22" s="911" t="s">
        <v>422</v>
      </c>
      <c r="D22" s="910">
        <f>IFERROR('B1. Resultat beräkning'!D36/'A. Byggnadsinfo med BBR'!D43,0)</f>
        <v>0</v>
      </c>
      <c r="E22" s="910">
        <f>IFERROR('B1. Resultat beräkning'!E36/'A. Byggnadsinfo med BBR'!D43,0)</f>
        <v>0</v>
      </c>
      <c r="F22" s="910">
        <f>IFERROR('B1. Resultat beräkning'!F36/'A. Byggnadsinfo med BBR'!E43,0)</f>
        <v>0</v>
      </c>
      <c r="G22" s="873">
        <f>IF(('C2. Inmatning och verifiering'!S26)&gt;0,'C2. Inmatning och verifiering'!AH5,0)</f>
        <v>0</v>
      </c>
      <c r="H22" s="858"/>
      <c r="I22" s="858"/>
      <c r="J22" s="858"/>
      <c r="K22" s="858"/>
      <c r="L22" s="858"/>
      <c r="M22" s="858"/>
      <c r="N22" s="858"/>
      <c r="O22" s="858"/>
      <c r="P22" s="858"/>
      <c r="Q22" s="858"/>
      <c r="R22" s="869"/>
      <c r="S22" s="869"/>
      <c r="T22" s="869"/>
      <c r="U22" s="869"/>
      <c r="V22" s="869"/>
      <c r="W22" s="869"/>
      <c r="X22" s="869"/>
    </row>
    <row r="23" spans="1:24" ht="18.75" customHeight="1" x14ac:dyDescent="0.25">
      <c r="A23" s="858"/>
      <c r="B23" s="887">
        <v>15</v>
      </c>
      <c r="C23" s="905" t="s">
        <v>423</v>
      </c>
      <c r="D23" s="873">
        <f>IFERROR(('B1. Resultat beräkning'!D28+'B1. Resultat beräkning'!D32)/'A. Byggnadsinfo med BBR'!D43,0)</f>
        <v>0</v>
      </c>
      <c r="E23" s="873">
        <f>IFERROR(('B1. Resultat beräkning'!E28+'B1. Resultat beräkning'!E32)/'A. Byggnadsinfo med BBR'!D43,0)</f>
        <v>0</v>
      </c>
      <c r="F23" s="873">
        <f>IFERROR(('B1. Resultat beräkning'!F28+'B1. Resultat beräkning'!F32)/'A. Byggnadsinfo med BBR'!E43,0)</f>
        <v>0</v>
      </c>
      <c r="G23" s="873">
        <f>IFERROR((PETberäkning!E11)/'A. Byggnadsinfo med BBR'!E43,0)</f>
        <v>0</v>
      </c>
      <c r="H23" s="858"/>
      <c r="I23" s="858"/>
      <c r="J23" s="858"/>
      <c r="K23" s="858"/>
      <c r="L23" s="858"/>
      <c r="M23" s="858"/>
      <c r="N23" s="858"/>
      <c r="O23" s="858"/>
      <c r="P23" s="858"/>
      <c r="Q23" s="858"/>
      <c r="R23" s="869"/>
      <c r="S23" s="869"/>
      <c r="T23" s="869"/>
      <c r="U23" s="869"/>
      <c r="V23" s="869"/>
      <c r="W23" s="869"/>
      <c r="X23" s="869"/>
    </row>
    <row r="24" spans="1:24" ht="27" customHeight="1" x14ac:dyDescent="0.25">
      <c r="A24" s="858"/>
      <c r="B24" s="887">
        <v>16</v>
      </c>
      <c r="C24" s="875" t="s">
        <v>424</v>
      </c>
      <c r="D24" s="891"/>
      <c r="E24" s="891"/>
      <c r="F24" s="891"/>
      <c r="G24" s="910">
        <f>IFERROR('C2. Inmatning och verifiering'!G26/'A. Byggnadsinfo med BBR'!E43,0)</f>
        <v>0</v>
      </c>
      <c r="H24" s="858"/>
      <c r="I24" s="858"/>
      <c r="J24" s="858"/>
      <c r="K24" s="858"/>
      <c r="L24" s="858"/>
      <c r="M24" s="858"/>
      <c r="N24" s="858"/>
      <c r="O24" s="858"/>
      <c r="P24" s="858"/>
      <c r="Q24" s="858"/>
      <c r="R24" s="869"/>
      <c r="S24" s="869"/>
      <c r="T24" s="869"/>
      <c r="U24" s="869"/>
      <c r="V24" s="869"/>
      <c r="W24" s="869"/>
      <c r="X24" s="869"/>
    </row>
    <row r="25" spans="1:24" ht="18" customHeight="1" x14ac:dyDescent="0.25">
      <c r="A25" s="858"/>
      <c r="B25" s="887">
        <v>17</v>
      </c>
      <c r="C25" s="928" t="s">
        <v>425</v>
      </c>
      <c r="D25" s="873">
        <f>IFERROR('B1. Resultat beräkning'!D45/'A. Byggnadsinfo med BBR'!D43,0)</f>
        <v>0</v>
      </c>
      <c r="E25" s="873">
        <f>IFERROR('B1. Resultat beräkning'!E45/'A. Byggnadsinfo med BBR'!D43,0)</f>
        <v>0</v>
      </c>
      <c r="F25" s="873">
        <f>IFERROR('B1. Resultat beräkning'!F45/'A. Byggnadsinfo med BBR'!E43,0)</f>
        <v>0</v>
      </c>
      <c r="G25" s="873">
        <f>IFERROR(('C2. Inmatning och verifiering'!AK26)/'A. Byggnadsinfo med BBR'!E43,0)</f>
        <v>0</v>
      </c>
      <c r="H25" s="858"/>
      <c r="I25" s="858"/>
      <c r="J25" s="858"/>
      <c r="K25" s="858"/>
      <c r="L25" s="858"/>
      <c r="M25" s="858"/>
      <c r="N25" s="858"/>
      <c r="O25" s="858"/>
      <c r="P25" s="858"/>
      <c r="Q25" s="858"/>
      <c r="R25" s="869"/>
      <c r="S25" s="869"/>
      <c r="T25" s="869"/>
      <c r="U25" s="869"/>
      <c r="V25" s="869"/>
      <c r="W25" s="869"/>
      <c r="X25" s="869"/>
    </row>
    <row r="26" spans="1:24" ht="18.75" customHeight="1" x14ac:dyDescent="0.25">
      <c r="A26" s="858"/>
      <c r="B26" s="887">
        <v>18</v>
      </c>
      <c r="C26" s="875" t="s">
        <v>426</v>
      </c>
      <c r="D26" s="873">
        <f>IFERROR('B1. Resultat beräkning'!D40/'A. Byggnadsinfo med BBR'!D43,0)</f>
        <v>0</v>
      </c>
      <c r="E26" s="873">
        <f>IFERROR('B1. Resultat beräkning'!E40/'A. Byggnadsinfo med BBR'!D43,0)</f>
        <v>0</v>
      </c>
      <c r="F26" s="873">
        <f>IFERROR('B1. Resultat beräkning'!F40/'A. Byggnadsinfo med BBR'!E43,0)</f>
        <v>0</v>
      </c>
      <c r="G26" s="873">
        <f>IFERROR(PETberäkning!E23/'A. Byggnadsinfo med BBR'!E43,0)</f>
        <v>0</v>
      </c>
      <c r="H26" s="858"/>
      <c r="I26" s="858"/>
      <c r="J26" s="858"/>
      <c r="K26" s="858"/>
      <c r="L26" s="858"/>
      <c r="M26" s="858"/>
      <c r="N26" s="858"/>
      <c r="O26" s="858"/>
      <c r="P26" s="858"/>
      <c r="Q26" s="858"/>
      <c r="R26" s="869"/>
      <c r="S26" s="869"/>
      <c r="T26" s="869"/>
      <c r="U26" s="869"/>
      <c r="V26" s="869"/>
      <c r="W26" s="869"/>
      <c r="X26" s="869"/>
    </row>
    <row r="27" spans="1:24" ht="18.75" customHeight="1" x14ac:dyDescent="0.25">
      <c r="A27" s="858"/>
      <c r="B27" s="887">
        <v>19</v>
      </c>
      <c r="C27" s="875" t="s">
        <v>427</v>
      </c>
      <c r="D27" s="873">
        <f>IFERROR('B1. Resultat beräkning'!D41/'A. Byggnadsinfo med BBR'!D43,0)</f>
        <v>0</v>
      </c>
      <c r="E27" s="873">
        <f>IFERROR('B1. Resultat beräkning'!E41/'A. Byggnadsinfo med BBR'!D43,0)</f>
        <v>0</v>
      </c>
      <c r="F27" s="873">
        <f>IFERROR('B1. Resultat beräkning'!F41/'A. Byggnadsinfo med BBR'!E43,0)</f>
        <v>0</v>
      </c>
      <c r="G27" s="873">
        <f>IFERROR(PETberäkning!E24/'A. Byggnadsinfo med BBR'!E43,0)</f>
        <v>0</v>
      </c>
      <c r="H27" s="858"/>
      <c r="I27" s="858"/>
      <c r="J27" s="858"/>
      <c r="K27" s="858"/>
      <c r="L27" s="858"/>
      <c r="M27" s="858"/>
      <c r="N27" s="858"/>
      <c r="O27" s="858"/>
      <c r="P27" s="858"/>
      <c r="Q27" s="858"/>
      <c r="R27" s="869"/>
      <c r="S27" s="869"/>
      <c r="T27" s="869"/>
      <c r="U27" s="869"/>
      <c r="V27" s="869"/>
      <c r="W27" s="869"/>
      <c r="X27" s="869"/>
    </row>
    <row r="28" spans="1:24" ht="18.75" customHeight="1" thickBot="1" x14ac:dyDescent="0.3">
      <c r="A28" s="858"/>
      <c r="B28" s="909">
        <v>20</v>
      </c>
      <c r="C28" s="908" t="s">
        <v>428</v>
      </c>
      <c r="D28" s="872">
        <f>IFERROR('B1. Resultat beräkning'!D17+'B1. Resultat beräkning'!D8,0)</f>
        <v>0</v>
      </c>
      <c r="E28" s="872">
        <f>IFERROR('B1. Resultat beräkning'!E17+'B1. Resultat beräkning'!E8,0)</f>
        <v>0</v>
      </c>
      <c r="F28" s="872">
        <f>IFERROR('B1. Resultat beräkning'!F17+'B1. Resultat beräkning'!F8,0)</f>
        <v>0</v>
      </c>
      <c r="G28" s="873">
        <f>IFERROR(('C2. Inmatning och verifiering'!AM26+'C2. Inmatning och verifiering'!AG26)/'A. Byggnadsinfo med BBR'!E43,0)</f>
        <v>0</v>
      </c>
      <c r="H28" s="858" t="s">
        <v>417</v>
      </c>
      <c r="I28" s="858"/>
      <c r="J28" s="858"/>
      <c r="K28" s="858"/>
      <c r="L28" s="858"/>
      <c r="M28" s="858"/>
      <c r="N28" s="858"/>
      <c r="O28" s="858"/>
      <c r="P28" s="858"/>
      <c r="Q28" s="858"/>
      <c r="R28" s="869"/>
      <c r="S28" s="869"/>
      <c r="T28" s="869"/>
      <c r="U28" s="869"/>
      <c r="V28" s="869"/>
      <c r="W28" s="869"/>
      <c r="X28" s="869"/>
    </row>
    <row r="29" spans="1:24" ht="25.5" customHeight="1" thickBot="1" x14ac:dyDescent="0.3">
      <c r="A29" s="858"/>
      <c r="B29" s="880"/>
      <c r="C29" s="901" t="s">
        <v>429</v>
      </c>
      <c r="D29" s="902">
        <f>D20+D21+D22+D23+D25+D26+D27+D28</f>
        <v>0</v>
      </c>
      <c r="E29" s="902">
        <f t="shared" ref="E29:F29" si="0">E20+E21+E22+E23+E25+E26+E27+E28</f>
        <v>0</v>
      </c>
      <c r="F29" s="902">
        <f t="shared" si="0"/>
        <v>0</v>
      </c>
      <c r="G29" s="874">
        <f>IF(G24&gt;0,G24+G20+G21+G25+G26+G27+G28,G20+G21+G22+G23+G25+G26+G27+G28)</f>
        <v>0</v>
      </c>
      <c r="H29" s="858"/>
      <c r="I29" s="858"/>
      <c r="J29" s="858"/>
      <c r="K29" s="858"/>
      <c r="L29" s="858"/>
      <c r="M29" s="858"/>
      <c r="N29" s="858"/>
      <c r="O29" s="858"/>
      <c r="P29" s="858"/>
      <c r="Q29" s="858"/>
      <c r="R29" s="869"/>
      <c r="S29" s="869"/>
      <c r="T29" s="869"/>
      <c r="U29" s="869"/>
      <c r="V29" s="869"/>
      <c r="W29" s="869"/>
      <c r="X29" s="869"/>
    </row>
    <row r="30" spans="1:24" ht="18.75" customHeight="1" thickBot="1" x14ac:dyDescent="0.3">
      <c r="A30" s="858"/>
      <c r="B30" s="880"/>
      <c r="C30" s="906"/>
      <c r="D30" s="913"/>
      <c r="E30" s="913"/>
      <c r="F30" s="913"/>
      <c r="G30" s="914"/>
      <c r="H30" s="858"/>
      <c r="I30" s="858"/>
      <c r="J30" s="858"/>
      <c r="K30" s="858"/>
      <c r="L30" s="858"/>
      <c r="M30" s="858"/>
      <c r="N30" s="858"/>
      <c r="O30" s="858"/>
      <c r="P30" s="858"/>
      <c r="Q30" s="858"/>
      <c r="R30" s="869"/>
      <c r="S30" s="869"/>
      <c r="T30" s="869"/>
      <c r="U30" s="869"/>
      <c r="V30" s="869"/>
      <c r="W30" s="869"/>
      <c r="X30" s="869"/>
    </row>
    <row r="31" spans="1:24" ht="18.75" customHeight="1" thickBot="1" x14ac:dyDescent="0.3">
      <c r="A31" s="858"/>
      <c r="B31" s="903"/>
      <c r="C31" s="884" t="s">
        <v>430</v>
      </c>
      <c r="D31" s="907"/>
      <c r="E31" s="907"/>
      <c r="F31" s="882"/>
      <c r="G31" s="882"/>
      <c r="H31" s="858"/>
      <c r="I31" s="858"/>
      <c r="J31" s="858"/>
      <c r="K31" s="858"/>
      <c r="L31" s="858"/>
      <c r="M31" s="858"/>
      <c r="N31" s="858"/>
      <c r="O31" s="858"/>
      <c r="P31" s="858"/>
      <c r="Q31" s="858"/>
      <c r="R31" s="869"/>
      <c r="S31" s="869"/>
      <c r="T31" s="869"/>
      <c r="U31" s="869"/>
      <c r="V31" s="869"/>
      <c r="W31" s="869"/>
      <c r="X31" s="869"/>
    </row>
    <row r="32" spans="1:24" ht="18.75" customHeight="1" x14ac:dyDescent="0.25">
      <c r="A32" s="858"/>
      <c r="B32" s="887">
        <v>21</v>
      </c>
      <c r="C32" s="900" t="s">
        <v>431</v>
      </c>
      <c r="D32" s="872">
        <f>IFERROR('B1. Resultat beräkning'!D32/'A. Byggnadsinfo med BBR'!D43,0)</f>
        <v>0</v>
      </c>
      <c r="E32" s="872">
        <f>IFERROR('B1. Resultat beräkning'!E32/'A. Byggnadsinfo med BBR'!D43,0)</f>
        <v>0</v>
      </c>
      <c r="F32" s="872">
        <f>IFERROR('B1. Resultat beräkning'!F32/'A. Byggnadsinfo med BBR'!E43,0)</f>
        <v>0</v>
      </c>
      <c r="G32" s="873">
        <f>IFERROR('C2. Inmatning och verifiering'!N26/'A. Byggnadsinfo med BBR'!E43,0)</f>
        <v>0</v>
      </c>
      <c r="H32" s="858"/>
      <c r="I32" s="858"/>
      <c r="J32" s="858"/>
      <c r="K32" s="858"/>
      <c r="L32" s="858"/>
      <c r="M32" s="858"/>
      <c r="N32" s="858"/>
      <c r="O32" s="858"/>
      <c r="P32" s="858"/>
      <c r="Q32" s="858"/>
      <c r="R32" s="869"/>
      <c r="S32" s="869"/>
      <c r="T32" s="869"/>
      <c r="U32" s="869"/>
      <c r="V32" s="869"/>
      <c r="W32" s="869"/>
      <c r="X32" s="869"/>
    </row>
    <row r="33" spans="1:24" ht="18.75" customHeight="1" x14ac:dyDescent="0.25">
      <c r="A33" s="858"/>
      <c r="B33" s="887">
        <v>22</v>
      </c>
      <c r="C33" s="900" t="s">
        <v>432</v>
      </c>
      <c r="D33" s="938"/>
      <c r="E33" s="939"/>
      <c r="F33" s="939"/>
      <c r="G33" s="939"/>
      <c r="H33" s="858"/>
      <c r="I33" s="858"/>
      <c r="J33" s="858"/>
      <c r="K33" s="858"/>
      <c r="L33" s="858"/>
      <c r="M33" s="858"/>
      <c r="N33" s="858"/>
      <c r="O33" s="858"/>
      <c r="P33" s="858"/>
      <c r="Q33" s="858"/>
      <c r="R33" s="869"/>
      <c r="S33" s="869"/>
      <c r="T33" s="869"/>
      <c r="U33" s="869"/>
      <c r="V33" s="869"/>
      <c r="W33" s="869"/>
      <c r="X33" s="869"/>
    </row>
    <row r="34" spans="1:24" ht="18.75" customHeight="1" x14ac:dyDescent="0.25">
      <c r="A34" s="858"/>
      <c r="B34" s="887">
        <v>23</v>
      </c>
      <c r="C34" s="899" t="s">
        <v>433</v>
      </c>
      <c r="D34" s="938"/>
      <c r="E34" s="939"/>
      <c r="F34" s="939"/>
      <c r="G34" s="939"/>
      <c r="H34" s="858"/>
      <c r="I34" s="858"/>
      <c r="J34" s="858"/>
      <c r="K34" s="858"/>
      <c r="L34" s="858"/>
      <c r="M34" s="858"/>
      <c r="N34" s="858"/>
      <c r="O34" s="858"/>
      <c r="P34" s="858"/>
      <c r="Q34" s="858"/>
      <c r="R34" s="869"/>
      <c r="S34" s="869"/>
      <c r="T34" s="869"/>
      <c r="U34" s="869"/>
      <c r="V34" s="869"/>
      <c r="W34" s="869"/>
      <c r="X34" s="869"/>
    </row>
    <row r="35" spans="1:24" ht="18.75" customHeight="1" x14ac:dyDescent="0.25">
      <c r="A35" s="858"/>
      <c r="B35" s="887">
        <v>24</v>
      </c>
      <c r="C35" s="900" t="s">
        <v>434</v>
      </c>
      <c r="D35" s="938"/>
      <c r="E35" s="939"/>
      <c r="F35" s="939"/>
      <c r="G35" s="939"/>
      <c r="H35" s="858"/>
      <c r="I35" s="858"/>
      <c r="J35" s="858"/>
      <c r="K35" s="858"/>
      <c r="L35" s="858"/>
      <c r="M35" s="858"/>
      <c r="N35" s="858"/>
      <c r="O35" s="858"/>
      <c r="P35" s="858"/>
      <c r="Q35" s="858"/>
      <c r="R35" s="869"/>
      <c r="S35" s="869"/>
      <c r="T35" s="869"/>
      <c r="U35" s="869"/>
      <c r="V35" s="869"/>
      <c r="W35" s="869"/>
      <c r="X35" s="869"/>
    </row>
    <row r="36" spans="1:24" ht="18.75" customHeight="1" x14ac:dyDescent="0.25">
      <c r="A36" s="858"/>
      <c r="B36" s="887">
        <v>25</v>
      </c>
      <c r="C36" s="912" t="s">
        <v>435</v>
      </c>
      <c r="D36" s="940"/>
      <c r="E36" s="941"/>
      <c r="F36" s="941"/>
      <c r="G36" s="941"/>
      <c r="H36" s="858"/>
      <c r="I36" s="858" t="s">
        <v>417</v>
      </c>
      <c r="J36" s="858"/>
      <c r="K36" s="858"/>
      <c r="L36" s="858"/>
      <c r="M36" s="858"/>
      <c r="N36" s="858"/>
      <c r="O36" s="858"/>
      <c r="P36" s="858"/>
      <c r="Q36" s="858"/>
      <c r="R36" s="869"/>
      <c r="S36" s="869"/>
      <c r="T36" s="869"/>
      <c r="U36" s="869"/>
      <c r="V36" s="869"/>
      <c r="W36" s="869"/>
      <c r="X36" s="869"/>
    </row>
    <row r="37" spans="1:24" ht="18.75" customHeight="1" thickBot="1" x14ac:dyDescent="0.3">
      <c r="A37" s="858"/>
      <c r="B37" s="887">
        <v>26</v>
      </c>
      <c r="C37" s="899" t="s">
        <v>436</v>
      </c>
      <c r="D37" s="938"/>
      <c r="E37" s="939"/>
      <c r="F37" s="939"/>
      <c r="G37" s="939"/>
      <c r="H37" s="858"/>
      <c r="I37" s="858"/>
      <c r="J37" s="858"/>
      <c r="K37" s="858"/>
      <c r="L37" s="858"/>
      <c r="M37" s="858"/>
      <c r="N37" s="858"/>
      <c r="O37" s="858"/>
      <c r="P37" s="858"/>
      <c r="Q37" s="858"/>
      <c r="R37" s="869"/>
      <c r="S37" s="869"/>
      <c r="T37" s="869"/>
      <c r="U37" s="869"/>
      <c r="V37" s="869"/>
      <c r="W37" s="869"/>
      <c r="X37" s="869"/>
    </row>
    <row r="38" spans="1:24" ht="18.75" customHeight="1" thickBot="1" x14ac:dyDescent="0.3">
      <c r="A38" s="858"/>
      <c r="B38" s="881"/>
      <c r="C38" s="884" t="s">
        <v>437</v>
      </c>
      <c r="D38" s="892"/>
      <c r="E38" s="883"/>
      <c r="F38" s="883"/>
      <c r="G38" s="883"/>
      <c r="H38" s="858"/>
      <c r="I38" s="858"/>
      <c r="J38" s="858"/>
      <c r="K38" s="858"/>
      <c r="L38" s="858"/>
      <c r="M38" s="858"/>
      <c r="N38" s="858"/>
      <c r="O38" s="858"/>
      <c r="P38" s="858"/>
      <c r="Q38" s="858"/>
      <c r="R38" s="869"/>
      <c r="S38" s="869"/>
      <c r="T38" s="869"/>
      <c r="U38" s="869"/>
      <c r="V38" s="869"/>
      <c r="W38" s="869"/>
      <c r="X38" s="869"/>
    </row>
    <row r="39" spans="1:24" ht="18" customHeight="1" x14ac:dyDescent="0.25">
      <c r="A39" s="858"/>
      <c r="B39" s="886">
        <v>27</v>
      </c>
      <c r="C39" s="915" t="s">
        <v>438</v>
      </c>
      <c r="D39" s="934"/>
      <c r="E39" s="935" t="s">
        <v>19</v>
      </c>
      <c r="F39" s="935"/>
      <c r="G39" s="935"/>
      <c r="H39" s="858"/>
      <c r="I39" s="858"/>
      <c r="J39" s="858"/>
      <c r="K39" s="858"/>
      <c r="L39" s="858"/>
      <c r="M39" s="858"/>
      <c r="N39" s="858"/>
      <c r="O39" s="858"/>
      <c r="P39" s="858"/>
      <c r="Q39" s="858"/>
      <c r="R39" s="869"/>
      <c r="S39" s="869"/>
      <c r="T39" s="869"/>
      <c r="U39" s="869"/>
      <c r="V39" s="869"/>
      <c r="W39" s="869"/>
      <c r="X39" s="869"/>
    </row>
    <row r="40" spans="1:24" s="869" customFormat="1" ht="18.75" customHeight="1" x14ac:dyDescent="0.25">
      <c r="B40" s="887">
        <v>28</v>
      </c>
      <c r="C40" s="900" t="s">
        <v>439</v>
      </c>
      <c r="D40" s="932"/>
      <c r="E40" s="933" t="s">
        <v>19</v>
      </c>
      <c r="F40" s="933"/>
      <c r="G40" s="933"/>
    </row>
    <row r="41" spans="1:24" ht="19.5" customHeight="1" x14ac:dyDescent="0.25">
      <c r="A41" s="858"/>
      <c r="B41" s="887">
        <v>29</v>
      </c>
      <c r="C41" s="899" t="s">
        <v>440</v>
      </c>
      <c r="D41" s="931"/>
      <c r="E41" s="930"/>
      <c r="F41" s="930"/>
      <c r="G41" s="930"/>
      <c r="H41" s="858"/>
      <c r="I41" s="858"/>
      <c r="J41" s="858"/>
      <c r="K41" s="858"/>
      <c r="L41" s="858"/>
      <c r="M41" s="858"/>
      <c r="N41" s="858"/>
      <c r="O41" s="858"/>
      <c r="P41" s="858"/>
      <c r="Q41" s="858"/>
      <c r="R41" s="869"/>
      <c r="S41" s="869"/>
      <c r="T41" s="869"/>
      <c r="U41" s="869"/>
      <c r="V41" s="869"/>
      <c r="W41" s="869"/>
      <c r="X41" s="869"/>
    </row>
    <row r="42" spans="1:24" ht="18.75" customHeight="1" x14ac:dyDescent="0.25">
      <c r="A42" s="858"/>
      <c r="B42" s="887">
        <v>30</v>
      </c>
      <c r="C42" s="899" t="s">
        <v>441</v>
      </c>
      <c r="D42" s="931"/>
      <c r="E42" s="930"/>
      <c r="F42" s="930"/>
      <c r="G42" s="930"/>
      <c r="H42" s="858"/>
      <c r="I42" s="858"/>
      <c r="J42" s="858"/>
      <c r="K42" s="858"/>
      <c r="L42" s="858"/>
      <c r="M42" s="858"/>
      <c r="N42" s="858"/>
      <c r="O42" s="858"/>
      <c r="P42" s="858"/>
      <c r="Q42" s="858"/>
      <c r="R42" s="869"/>
      <c r="S42" s="869"/>
      <c r="T42" s="869"/>
      <c r="U42" s="869"/>
      <c r="V42" s="869"/>
      <c r="W42" s="869"/>
      <c r="X42" s="869"/>
    </row>
    <row r="43" spans="1:24" ht="18.75" customHeight="1" thickBot="1" x14ac:dyDescent="0.3">
      <c r="A43" s="858"/>
      <c r="B43" s="888">
        <v>31</v>
      </c>
      <c r="C43" s="916" t="s">
        <v>442</v>
      </c>
      <c r="D43" s="936"/>
      <c r="E43" s="937"/>
      <c r="F43" s="937"/>
      <c r="G43" s="937"/>
      <c r="H43" s="858"/>
      <c r="I43" s="858"/>
      <c r="J43" s="858"/>
      <c r="K43" s="858"/>
      <c r="L43" s="858"/>
      <c r="M43" s="858"/>
      <c r="N43" s="858"/>
      <c r="O43" s="858"/>
      <c r="P43" s="858"/>
      <c r="Q43" s="858"/>
      <c r="R43" s="869"/>
      <c r="S43" s="869"/>
      <c r="T43" s="869"/>
      <c r="U43" s="869"/>
      <c r="V43" s="869"/>
      <c r="W43" s="869"/>
      <c r="X43" s="869"/>
    </row>
    <row r="44" spans="1:24" s="869" customFormat="1" x14ac:dyDescent="0.25"/>
    <row r="45" spans="1:24" ht="106.5" customHeight="1" x14ac:dyDescent="0.25">
      <c r="A45" s="858"/>
      <c r="B45" s="869"/>
      <c r="C45" s="869"/>
      <c r="D45" s="869"/>
      <c r="E45" s="869"/>
      <c r="F45" s="869"/>
      <c r="G45" s="869"/>
      <c r="H45" s="869"/>
      <c r="I45" s="869"/>
      <c r="J45" s="869"/>
      <c r="K45" s="858"/>
      <c r="L45" s="858"/>
      <c r="M45" s="858"/>
      <c r="N45" s="858"/>
      <c r="O45" s="858"/>
      <c r="P45" s="858"/>
      <c r="Q45" s="858"/>
      <c r="R45" s="869"/>
      <c r="S45" s="869"/>
      <c r="T45" s="869"/>
      <c r="U45" s="869"/>
      <c r="V45" s="869"/>
      <c r="W45" s="869"/>
      <c r="X45" s="869"/>
    </row>
    <row r="46" spans="1:24" x14ac:dyDescent="0.25">
      <c r="A46" s="858"/>
      <c r="B46" s="859"/>
      <c r="C46" s="859"/>
      <c r="D46" s="859"/>
      <c r="E46" s="859"/>
      <c r="F46" s="859"/>
      <c r="G46" s="859"/>
      <c r="H46" s="859"/>
      <c r="I46" s="859"/>
      <c r="J46" s="859"/>
      <c r="K46" s="859"/>
      <c r="L46" s="859"/>
      <c r="M46" s="859"/>
      <c r="N46" s="858"/>
      <c r="O46" s="858"/>
      <c r="P46" s="858"/>
      <c r="Q46" s="858"/>
      <c r="R46" s="869"/>
      <c r="S46" s="869"/>
      <c r="T46" s="869"/>
      <c r="U46" s="869"/>
      <c r="V46" s="869"/>
      <c r="W46" s="869"/>
      <c r="X46" s="869"/>
    </row>
    <row r="47" spans="1:24" x14ac:dyDescent="0.25">
      <c r="A47" s="858"/>
      <c r="B47" s="859"/>
      <c r="C47" s="859"/>
      <c r="D47" s="859"/>
      <c r="E47" s="859"/>
      <c r="F47" s="859"/>
      <c r="G47" s="859"/>
      <c r="H47" s="859"/>
      <c r="I47" s="859"/>
      <c r="J47" s="859"/>
      <c r="K47" s="859"/>
      <c r="L47" s="859"/>
      <c r="M47" s="859"/>
      <c r="N47" s="858"/>
      <c r="O47" s="858"/>
      <c r="P47" s="858"/>
      <c r="Q47" s="858"/>
      <c r="R47" s="869"/>
      <c r="S47" s="869"/>
      <c r="T47" s="869"/>
      <c r="U47" s="869"/>
      <c r="V47" s="869"/>
      <c r="W47" s="869"/>
      <c r="X47" s="869"/>
    </row>
    <row r="48" spans="1:24" x14ac:dyDescent="0.25">
      <c r="A48" s="858"/>
      <c r="B48" s="859"/>
      <c r="C48" s="859"/>
      <c r="D48" s="859"/>
      <c r="E48" s="859"/>
      <c r="F48" s="859"/>
      <c r="G48" s="859"/>
      <c r="H48" s="859"/>
      <c r="I48" s="859"/>
      <c r="J48" s="859"/>
      <c r="K48" s="859"/>
      <c r="L48" s="859"/>
      <c r="M48" s="859"/>
      <c r="N48" s="858"/>
      <c r="O48" s="858"/>
      <c r="P48" s="858"/>
      <c r="Q48" s="858"/>
      <c r="R48" s="859"/>
      <c r="S48" s="859"/>
      <c r="T48" s="858"/>
      <c r="U48" s="858"/>
      <c r="V48" s="858"/>
      <c r="W48" s="858"/>
      <c r="X48" s="858"/>
    </row>
    <row r="49" spans="1:24" x14ac:dyDescent="0.25">
      <c r="A49" s="858"/>
      <c r="B49" s="859"/>
      <c r="C49" s="859"/>
      <c r="D49" s="858"/>
      <c r="E49" s="858"/>
      <c r="F49" s="858"/>
      <c r="G49" s="858"/>
      <c r="H49" s="858"/>
      <c r="I49" s="858"/>
      <c r="J49" s="858"/>
      <c r="K49" s="858"/>
      <c r="L49" s="858"/>
      <c r="M49" s="858"/>
      <c r="N49" s="858"/>
      <c r="O49" s="858"/>
      <c r="P49" s="858"/>
      <c r="Q49" s="858"/>
      <c r="R49" s="859"/>
      <c r="S49" s="859"/>
      <c r="T49" s="858"/>
      <c r="U49" s="858"/>
      <c r="V49" s="858"/>
      <c r="W49" s="858"/>
      <c r="X49" s="858"/>
    </row>
    <row r="50" spans="1:24" x14ac:dyDescent="0.25">
      <c r="A50" s="858"/>
      <c r="B50" s="859"/>
      <c r="C50" s="859"/>
      <c r="D50" s="858"/>
      <c r="E50" s="858"/>
      <c r="F50" s="858"/>
      <c r="G50" s="858"/>
      <c r="H50" s="858"/>
      <c r="I50" s="858"/>
      <c r="J50" s="858"/>
      <c r="K50" s="858"/>
      <c r="L50" s="858"/>
      <c r="M50" s="858"/>
      <c r="N50" s="858"/>
      <c r="O50" s="858"/>
      <c r="P50" s="858"/>
      <c r="Q50" s="858"/>
      <c r="R50" s="859"/>
      <c r="S50" s="859"/>
      <c r="T50" s="858"/>
      <c r="U50" s="858"/>
      <c r="V50" s="858"/>
      <c r="W50" s="858"/>
      <c r="X50" s="858"/>
    </row>
    <row r="51" spans="1:24" x14ac:dyDescent="0.25">
      <c r="A51" s="858"/>
      <c r="B51" s="859"/>
      <c r="C51" s="859"/>
      <c r="D51" s="858"/>
      <c r="E51" s="858"/>
      <c r="F51" s="858"/>
      <c r="G51" s="858"/>
      <c r="H51" s="858"/>
      <c r="I51" s="858"/>
      <c r="J51" s="858"/>
      <c r="K51" s="858"/>
      <c r="L51" s="858"/>
      <c r="M51" s="858"/>
      <c r="N51" s="858"/>
      <c r="O51" s="858"/>
      <c r="P51" s="858"/>
      <c r="Q51" s="858"/>
      <c r="R51" s="859"/>
      <c r="S51" s="859"/>
      <c r="T51" s="858"/>
      <c r="U51" s="858"/>
      <c r="V51" s="858"/>
      <c r="W51" s="858"/>
      <c r="X51" s="858"/>
    </row>
    <row r="52" spans="1:24" x14ac:dyDescent="0.25">
      <c r="A52" s="858"/>
      <c r="B52" s="859"/>
      <c r="C52" s="859"/>
      <c r="D52" s="858"/>
      <c r="E52" s="858"/>
      <c r="F52" s="858"/>
      <c r="G52" s="858"/>
      <c r="H52" s="858"/>
      <c r="I52" s="858"/>
      <c r="J52" s="858"/>
      <c r="K52" s="858"/>
      <c r="L52" s="858"/>
      <c r="M52" s="858"/>
      <c r="N52" s="858"/>
      <c r="O52" s="858"/>
      <c r="P52" s="858"/>
      <c r="Q52" s="858"/>
      <c r="R52" s="859"/>
      <c r="S52" s="859"/>
      <c r="T52" s="858"/>
      <c r="U52" s="858"/>
      <c r="V52" s="858"/>
      <c r="W52" s="858"/>
      <c r="X52" s="858"/>
    </row>
    <row r="53" spans="1:24" x14ac:dyDescent="0.25">
      <c r="A53" s="858"/>
      <c r="B53" s="859"/>
      <c r="C53" s="859"/>
      <c r="D53" s="858"/>
      <c r="E53" s="858"/>
      <c r="F53" s="858"/>
      <c r="G53" s="858"/>
      <c r="H53" s="858"/>
      <c r="I53" s="858"/>
      <c r="J53" s="858"/>
      <c r="K53" s="858"/>
      <c r="L53" s="858"/>
      <c r="M53" s="858"/>
      <c r="N53" s="858"/>
      <c r="O53" s="858"/>
      <c r="P53" s="858"/>
      <c r="Q53" s="858"/>
      <c r="R53" s="859"/>
      <c r="S53" s="859"/>
      <c r="T53" s="858"/>
      <c r="U53" s="858"/>
      <c r="V53" s="858"/>
      <c r="W53" s="858"/>
      <c r="X53" s="858"/>
    </row>
    <row r="54" spans="1:24" x14ac:dyDescent="0.25">
      <c r="A54" s="858"/>
      <c r="B54" s="859"/>
      <c r="C54" s="859"/>
      <c r="D54" s="858"/>
      <c r="E54" s="858"/>
      <c r="F54" s="858"/>
      <c r="G54" s="858"/>
      <c r="H54" s="858"/>
      <c r="I54" s="858"/>
      <c r="J54" s="858"/>
      <c r="K54" s="858"/>
      <c r="L54" s="858"/>
      <c r="M54" s="858"/>
      <c r="N54" s="858"/>
      <c r="O54" s="858"/>
      <c r="P54" s="858"/>
      <c r="Q54" s="858"/>
      <c r="R54" s="859"/>
      <c r="S54" s="859"/>
      <c r="T54" s="858"/>
      <c r="U54" s="858"/>
      <c r="V54" s="858"/>
      <c r="W54" s="858"/>
      <c r="X54" s="858"/>
    </row>
    <row r="55" spans="1:24" x14ac:dyDescent="0.25">
      <c r="A55" s="858"/>
      <c r="B55" s="859"/>
      <c r="C55" s="859"/>
      <c r="D55" s="858"/>
      <c r="E55" s="858"/>
      <c r="F55" s="858"/>
      <c r="G55" s="858"/>
      <c r="H55" s="858"/>
      <c r="I55" s="858"/>
      <c r="J55" s="858"/>
      <c r="K55" s="858"/>
      <c r="L55" s="858"/>
      <c r="M55" s="858"/>
      <c r="N55" s="858"/>
      <c r="O55" s="858"/>
      <c r="P55" s="858"/>
      <c r="Q55" s="858"/>
      <c r="R55" s="859"/>
      <c r="S55" s="859"/>
      <c r="T55" s="858"/>
      <c r="U55" s="858"/>
      <c r="V55" s="858"/>
      <c r="W55" s="858"/>
      <c r="X55" s="858"/>
    </row>
    <row r="56" spans="1:24" x14ac:dyDescent="0.25">
      <c r="A56" s="858"/>
      <c r="B56" s="859"/>
      <c r="C56" s="859"/>
      <c r="D56" s="858"/>
      <c r="E56" s="858"/>
      <c r="F56" s="858"/>
      <c r="G56" s="858"/>
      <c r="H56" s="858"/>
      <c r="I56" s="858"/>
      <c r="J56" s="858"/>
      <c r="K56" s="858"/>
      <c r="L56" s="858"/>
      <c r="M56" s="858"/>
      <c r="N56" s="858"/>
      <c r="O56" s="858"/>
      <c r="P56" s="858"/>
      <c r="Q56" s="858"/>
      <c r="R56" s="859"/>
      <c r="S56" s="859"/>
      <c r="T56" s="858"/>
      <c r="U56" s="858"/>
      <c r="V56" s="858"/>
      <c r="W56" s="858"/>
      <c r="X56" s="858"/>
    </row>
    <row r="57" spans="1:24" x14ac:dyDescent="0.25">
      <c r="A57" s="858"/>
      <c r="B57" s="859"/>
      <c r="C57" s="859"/>
      <c r="D57" s="858"/>
      <c r="E57" s="858"/>
      <c r="F57" s="858"/>
      <c r="G57" s="858"/>
      <c r="H57" s="858"/>
      <c r="I57" s="858"/>
      <c r="J57" s="858"/>
      <c r="K57" s="858"/>
      <c r="L57" s="858"/>
      <c r="M57" s="858"/>
      <c r="N57" s="858"/>
      <c r="O57" s="858"/>
      <c r="P57" s="858"/>
      <c r="Q57" s="858"/>
      <c r="R57" s="859"/>
      <c r="S57" s="859"/>
      <c r="T57" s="858"/>
      <c r="U57" s="858"/>
      <c r="V57" s="858"/>
      <c r="W57" s="858"/>
      <c r="X57" s="858"/>
    </row>
    <row r="58" spans="1:24" x14ac:dyDescent="0.25">
      <c r="A58" s="858"/>
      <c r="B58" s="859"/>
      <c r="C58" s="859"/>
      <c r="D58" s="858"/>
      <c r="E58" s="858"/>
      <c r="F58" s="858"/>
      <c r="G58" s="858"/>
      <c r="H58" s="858"/>
      <c r="I58" s="858"/>
      <c r="J58" s="858"/>
      <c r="K58" s="858"/>
      <c r="L58" s="858"/>
      <c r="M58" s="858"/>
      <c r="N58" s="858"/>
      <c r="O58" s="858"/>
      <c r="P58" s="858"/>
      <c r="Q58" s="858"/>
      <c r="R58" s="859"/>
      <c r="S58" s="859"/>
      <c r="T58" s="858"/>
      <c r="U58" s="858"/>
      <c r="V58" s="858"/>
      <c r="W58" s="858"/>
      <c r="X58" s="858"/>
    </row>
    <row r="59" spans="1:24" x14ac:dyDescent="0.25">
      <c r="A59" s="858"/>
      <c r="B59" s="859"/>
      <c r="C59" s="859"/>
      <c r="D59" s="858"/>
      <c r="E59" s="858"/>
      <c r="F59" s="858"/>
      <c r="G59" s="858"/>
      <c r="H59" s="858"/>
      <c r="I59" s="858"/>
      <c r="J59" s="858"/>
      <c r="K59" s="858"/>
      <c r="L59" s="858"/>
      <c r="M59" s="858"/>
      <c r="N59" s="858"/>
      <c r="O59" s="858"/>
      <c r="P59" s="858"/>
      <c r="Q59" s="858"/>
      <c r="R59" s="859"/>
      <c r="S59" s="859"/>
      <c r="T59" s="858"/>
      <c r="U59" s="858"/>
      <c r="V59" s="858"/>
      <c r="W59" s="858"/>
      <c r="X59" s="858"/>
    </row>
    <row r="60" spans="1:24" x14ac:dyDescent="0.25">
      <c r="A60" s="858"/>
      <c r="B60" s="859"/>
      <c r="C60" s="859"/>
      <c r="D60" s="858"/>
      <c r="E60" s="858"/>
      <c r="F60" s="858"/>
      <c r="G60" s="858"/>
      <c r="H60" s="858"/>
      <c r="I60" s="858"/>
      <c r="J60" s="858"/>
      <c r="K60" s="858"/>
      <c r="L60" s="858"/>
      <c r="M60" s="858"/>
      <c r="N60" s="858"/>
      <c r="O60" s="858"/>
      <c r="P60" s="858"/>
      <c r="Q60" s="858"/>
      <c r="R60" s="859"/>
      <c r="S60" s="859"/>
      <c r="T60" s="858"/>
      <c r="U60" s="858"/>
      <c r="V60" s="858"/>
      <c r="W60" s="858"/>
      <c r="X60" s="858"/>
    </row>
    <row r="61" spans="1:24" x14ac:dyDescent="0.25">
      <c r="A61" s="858"/>
      <c r="B61" s="859"/>
      <c r="C61" s="859"/>
      <c r="D61" s="858"/>
      <c r="E61" s="858"/>
      <c r="F61" s="858"/>
      <c r="G61" s="858"/>
      <c r="H61" s="858"/>
      <c r="I61" s="858"/>
      <c r="J61" s="858"/>
      <c r="K61" s="858"/>
      <c r="L61" s="858"/>
      <c r="M61" s="858"/>
      <c r="N61" s="858"/>
      <c r="O61" s="858"/>
      <c r="P61" s="858"/>
      <c r="Q61" s="858"/>
      <c r="R61" s="859"/>
      <c r="S61" s="859"/>
      <c r="T61" s="858"/>
      <c r="U61" s="858"/>
      <c r="V61" s="858"/>
      <c r="W61" s="858"/>
      <c r="X61" s="858"/>
    </row>
    <row r="62" spans="1:24" x14ac:dyDescent="0.25">
      <c r="A62" s="858"/>
      <c r="B62" s="859"/>
      <c r="C62" s="859"/>
      <c r="D62" s="858"/>
      <c r="E62" s="858"/>
      <c r="F62" s="858"/>
      <c r="G62" s="858"/>
      <c r="H62" s="858"/>
      <c r="I62" s="858"/>
      <c r="J62" s="858"/>
      <c r="K62" s="858"/>
      <c r="L62" s="858"/>
      <c r="M62" s="858"/>
      <c r="N62" s="858"/>
      <c r="O62" s="858"/>
      <c r="P62" s="858"/>
      <c r="Q62" s="858"/>
      <c r="R62" s="859"/>
      <c r="S62" s="859"/>
      <c r="T62" s="858"/>
      <c r="U62" s="858"/>
      <c r="V62" s="858"/>
      <c r="W62" s="858"/>
      <c r="X62" s="858"/>
    </row>
    <row r="63" spans="1:24" x14ac:dyDescent="0.25">
      <c r="A63" s="858"/>
      <c r="B63" s="859"/>
      <c r="C63" s="859"/>
      <c r="D63" s="858"/>
      <c r="E63" s="858"/>
      <c r="F63" s="858"/>
      <c r="G63" s="858"/>
      <c r="H63" s="858"/>
      <c r="I63" s="858"/>
      <c r="J63" s="858"/>
      <c r="K63" s="858"/>
      <c r="L63" s="858"/>
      <c r="M63" s="858"/>
      <c r="N63" s="858"/>
      <c r="O63" s="858"/>
      <c r="P63" s="858"/>
      <c r="Q63" s="858"/>
      <c r="R63" s="859"/>
      <c r="S63" s="859"/>
      <c r="T63" s="858"/>
      <c r="U63" s="858"/>
      <c r="V63" s="858"/>
      <c r="W63" s="858"/>
      <c r="X63" s="858"/>
    </row>
    <row r="64" spans="1:24" x14ac:dyDescent="0.25">
      <c r="A64" s="858"/>
      <c r="B64" s="859"/>
      <c r="C64" s="859"/>
      <c r="D64" s="858"/>
      <c r="E64" s="858"/>
      <c r="F64" s="858"/>
      <c r="G64" s="858"/>
      <c r="H64" s="858"/>
      <c r="I64" s="858"/>
      <c r="J64" s="858"/>
      <c r="K64" s="858"/>
      <c r="L64" s="858"/>
      <c r="M64" s="858"/>
      <c r="N64" s="858"/>
      <c r="O64" s="858"/>
      <c r="P64" s="858"/>
      <c r="Q64" s="858"/>
      <c r="R64" s="859"/>
      <c r="S64" s="859"/>
      <c r="T64" s="858"/>
      <c r="U64" s="858"/>
      <c r="V64" s="858"/>
      <c r="W64" s="858"/>
      <c r="X64" s="858"/>
    </row>
    <row r="65" spans="1:24" x14ac:dyDescent="0.25">
      <c r="A65" s="858"/>
      <c r="B65" s="859"/>
      <c r="C65" s="859"/>
      <c r="D65" s="858"/>
      <c r="E65" s="858"/>
      <c r="F65" s="858"/>
      <c r="G65" s="858"/>
      <c r="H65" s="858"/>
      <c r="I65" s="858"/>
      <c r="J65" s="858"/>
      <c r="K65" s="858"/>
      <c r="L65" s="858"/>
      <c r="M65" s="858"/>
      <c r="N65" s="858"/>
      <c r="O65" s="858"/>
      <c r="P65" s="858"/>
      <c r="Q65" s="858"/>
      <c r="R65" s="859"/>
      <c r="S65" s="859"/>
      <c r="T65" s="858"/>
      <c r="U65" s="858"/>
      <c r="V65" s="858"/>
      <c r="W65" s="858"/>
      <c r="X65" s="858"/>
    </row>
    <row r="66" spans="1:24" x14ac:dyDescent="0.25">
      <c r="A66" s="858"/>
      <c r="B66" s="859"/>
      <c r="C66" s="859"/>
      <c r="D66" s="858"/>
      <c r="E66" s="858"/>
      <c r="F66" s="858"/>
      <c r="G66" s="858"/>
      <c r="H66" s="858"/>
      <c r="I66" s="858"/>
      <c r="J66" s="858"/>
      <c r="K66" s="858"/>
      <c r="L66" s="858"/>
      <c r="M66" s="858"/>
      <c r="N66" s="858"/>
      <c r="O66" s="858"/>
      <c r="P66" s="858"/>
      <c r="Q66" s="858"/>
      <c r="R66" s="859"/>
      <c r="S66" s="859"/>
      <c r="T66" s="858"/>
      <c r="U66" s="858"/>
      <c r="V66" s="858"/>
      <c r="W66" s="858"/>
      <c r="X66" s="858"/>
    </row>
    <row r="67" spans="1:24" x14ac:dyDescent="0.25">
      <c r="A67" s="858"/>
      <c r="B67" s="859"/>
      <c r="C67" s="859"/>
      <c r="D67" s="858"/>
      <c r="E67" s="858"/>
      <c r="F67" s="858"/>
      <c r="G67" s="858"/>
      <c r="H67" s="858"/>
      <c r="I67" s="858"/>
      <c r="J67" s="858"/>
      <c r="K67" s="858"/>
      <c r="L67" s="858"/>
      <c r="M67" s="858"/>
      <c r="N67" s="858"/>
      <c r="O67" s="858"/>
      <c r="P67" s="858"/>
      <c r="Q67" s="858"/>
      <c r="R67" s="859"/>
      <c r="S67" s="859"/>
      <c r="T67" s="858"/>
      <c r="U67" s="858"/>
      <c r="V67" s="858"/>
      <c r="W67" s="858"/>
      <c r="X67" s="858"/>
    </row>
    <row r="68" spans="1:24" x14ac:dyDescent="0.25">
      <c r="A68" s="858"/>
      <c r="B68" s="859"/>
      <c r="C68" s="859"/>
      <c r="D68" s="858"/>
      <c r="E68" s="858"/>
      <c r="F68" s="858"/>
      <c r="G68" s="858"/>
      <c r="H68" s="858"/>
      <c r="I68" s="858"/>
      <c r="J68" s="858"/>
      <c r="K68" s="858"/>
      <c r="L68" s="858"/>
      <c r="M68" s="858"/>
      <c r="N68" s="858"/>
      <c r="O68" s="858"/>
      <c r="P68" s="858"/>
      <c r="Q68" s="858"/>
      <c r="R68" s="859"/>
      <c r="S68" s="859"/>
      <c r="T68" s="858"/>
      <c r="U68" s="858"/>
      <c r="V68" s="858"/>
      <c r="W68" s="858"/>
      <c r="X68" s="858"/>
    </row>
    <row r="69" spans="1:24" x14ac:dyDescent="0.25">
      <c r="A69" s="858"/>
      <c r="B69" s="859"/>
      <c r="C69" s="859"/>
      <c r="D69" s="858"/>
      <c r="E69" s="858"/>
      <c r="F69" s="858"/>
      <c r="G69" s="858"/>
      <c r="H69" s="858"/>
      <c r="I69" s="858"/>
      <c r="J69" s="858"/>
      <c r="K69" s="858"/>
      <c r="L69" s="858"/>
      <c r="M69" s="858"/>
      <c r="N69" s="858"/>
      <c r="O69" s="858"/>
      <c r="P69" s="858"/>
      <c r="Q69" s="858"/>
      <c r="R69" s="859"/>
      <c r="S69" s="859"/>
      <c r="T69" s="858"/>
      <c r="U69" s="858"/>
      <c r="V69" s="858"/>
      <c r="W69" s="858"/>
      <c r="X69" s="858"/>
    </row>
    <row r="70" spans="1:24" x14ac:dyDescent="0.25">
      <c r="A70" s="858"/>
      <c r="B70" s="859"/>
      <c r="C70" s="859"/>
      <c r="D70" s="858"/>
      <c r="E70" s="858"/>
      <c r="F70" s="858"/>
      <c r="G70" s="858"/>
      <c r="H70" s="858"/>
      <c r="I70" s="858"/>
      <c r="J70" s="858"/>
      <c r="K70" s="858"/>
      <c r="L70" s="858"/>
      <c r="M70" s="858"/>
      <c r="N70" s="858"/>
      <c r="O70" s="858"/>
      <c r="P70" s="858"/>
      <c r="Q70" s="858"/>
      <c r="R70" s="859"/>
      <c r="S70" s="859"/>
      <c r="T70" s="858"/>
      <c r="U70" s="858"/>
      <c r="V70" s="858"/>
      <c r="W70" s="858"/>
      <c r="X70" s="858"/>
    </row>
    <row r="71" spans="1:24" x14ac:dyDescent="0.25">
      <c r="A71" s="858"/>
      <c r="B71" s="859"/>
      <c r="C71" s="859"/>
      <c r="D71" s="858"/>
      <c r="E71" s="858"/>
      <c r="F71" s="858"/>
      <c r="G71" s="858"/>
      <c r="H71" s="858"/>
      <c r="I71" s="858"/>
      <c r="J71" s="858"/>
      <c r="K71" s="858"/>
      <c r="L71" s="858"/>
      <c r="M71" s="858"/>
      <c r="N71" s="858"/>
      <c r="O71" s="858"/>
      <c r="P71" s="858"/>
      <c r="Q71" s="858"/>
      <c r="R71" s="859"/>
      <c r="S71" s="859"/>
      <c r="T71" s="858"/>
      <c r="U71" s="858"/>
      <c r="V71" s="858"/>
      <c r="W71" s="858"/>
      <c r="X71" s="858"/>
    </row>
    <row r="72" spans="1:24" x14ac:dyDescent="0.25">
      <c r="A72" s="858"/>
      <c r="B72" s="859"/>
      <c r="C72" s="859"/>
      <c r="D72" s="858"/>
      <c r="E72" s="858"/>
      <c r="F72" s="858"/>
      <c r="G72" s="858"/>
      <c r="H72" s="858"/>
      <c r="I72" s="858"/>
      <c r="J72" s="858"/>
      <c r="K72" s="858"/>
      <c r="L72" s="858"/>
      <c r="M72" s="858"/>
      <c r="N72" s="858"/>
      <c r="O72" s="858"/>
      <c r="P72" s="858"/>
      <c r="Q72" s="858"/>
      <c r="R72" s="859"/>
      <c r="S72" s="859"/>
      <c r="T72" s="858"/>
      <c r="U72" s="858"/>
      <c r="V72" s="858"/>
      <c r="W72" s="858"/>
      <c r="X72" s="858"/>
    </row>
    <row r="73" spans="1:24" x14ac:dyDescent="0.25">
      <c r="A73" s="858"/>
      <c r="B73" s="859"/>
      <c r="C73" s="859"/>
      <c r="D73" s="858"/>
      <c r="E73" s="858"/>
      <c r="F73" s="858"/>
      <c r="G73" s="858"/>
      <c r="H73" s="858"/>
      <c r="I73" s="858"/>
      <c r="J73" s="858"/>
      <c r="K73" s="858"/>
      <c r="L73" s="858"/>
      <c r="M73" s="858"/>
      <c r="N73" s="858"/>
      <c r="O73" s="858"/>
      <c r="P73" s="858"/>
      <c r="Q73" s="858"/>
      <c r="R73" s="859"/>
      <c r="S73" s="859"/>
      <c r="T73" s="858"/>
      <c r="U73" s="858"/>
      <c r="V73" s="858"/>
      <c r="W73" s="858"/>
      <c r="X73" s="858"/>
    </row>
    <row r="74" spans="1:24" x14ac:dyDescent="0.25">
      <c r="A74" s="858"/>
      <c r="B74" s="859"/>
      <c r="C74" s="859"/>
      <c r="D74" s="858"/>
      <c r="E74" s="858"/>
      <c r="F74" s="858"/>
      <c r="G74" s="858"/>
      <c r="H74" s="858"/>
      <c r="I74" s="858"/>
      <c r="J74" s="858"/>
      <c r="K74" s="858"/>
      <c r="L74" s="858"/>
      <c r="M74" s="858"/>
      <c r="N74" s="858"/>
      <c r="O74" s="858"/>
      <c r="P74" s="858"/>
      <c r="Q74" s="858"/>
      <c r="R74" s="859"/>
      <c r="S74" s="859"/>
      <c r="T74" s="858"/>
      <c r="U74" s="858"/>
      <c r="V74" s="858"/>
      <c r="W74" s="858"/>
      <c r="X74" s="858"/>
    </row>
    <row r="75" spans="1:24" x14ac:dyDescent="0.25">
      <c r="A75" s="858"/>
      <c r="B75" s="859"/>
      <c r="C75" s="859"/>
      <c r="D75" s="858"/>
      <c r="E75" s="858"/>
      <c r="F75" s="858"/>
      <c r="G75" s="858"/>
      <c r="H75" s="858"/>
      <c r="I75" s="858"/>
      <c r="J75" s="858"/>
      <c r="K75" s="858"/>
      <c r="L75" s="858"/>
      <c r="M75" s="858"/>
      <c r="N75" s="858"/>
      <c r="O75" s="858"/>
      <c r="P75" s="858"/>
      <c r="Q75" s="858"/>
      <c r="R75" s="859"/>
      <c r="S75" s="859"/>
      <c r="T75" s="858"/>
      <c r="U75" s="858"/>
      <c r="V75" s="858"/>
      <c r="W75" s="858"/>
      <c r="X75" s="858"/>
    </row>
    <row r="76" spans="1:24" x14ac:dyDescent="0.25">
      <c r="A76" s="858"/>
      <c r="B76" s="859"/>
      <c r="C76" s="859"/>
      <c r="D76" s="858"/>
      <c r="E76" s="858"/>
      <c r="F76" s="858"/>
      <c r="G76" s="858"/>
      <c r="H76" s="858"/>
      <c r="I76" s="858"/>
      <c r="J76" s="858"/>
      <c r="K76" s="858"/>
      <c r="L76" s="858"/>
      <c r="M76" s="858"/>
      <c r="N76" s="858"/>
      <c r="O76" s="858"/>
      <c r="P76" s="858"/>
      <c r="Q76" s="858"/>
      <c r="R76" s="859"/>
      <c r="S76" s="859"/>
      <c r="T76" s="858"/>
      <c r="U76" s="858"/>
      <c r="V76" s="858"/>
      <c r="W76" s="858"/>
      <c r="X76" s="858"/>
    </row>
    <row r="77" spans="1:24" x14ac:dyDescent="0.25">
      <c r="A77" s="858"/>
      <c r="B77" s="859"/>
      <c r="C77" s="859"/>
      <c r="D77" s="858"/>
      <c r="E77" s="858"/>
      <c r="F77" s="858"/>
      <c r="G77" s="858"/>
      <c r="H77" s="858"/>
      <c r="I77" s="858"/>
      <c r="J77" s="858"/>
      <c r="K77" s="858"/>
      <c r="L77" s="858"/>
      <c r="M77" s="858"/>
      <c r="N77" s="858"/>
      <c r="O77" s="858"/>
      <c r="P77" s="858"/>
      <c r="Q77" s="858"/>
      <c r="R77" s="859"/>
      <c r="S77" s="859"/>
      <c r="T77" s="858"/>
      <c r="U77" s="858"/>
      <c r="V77" s="858"/>
      <c r="W77" s="858"/>
      <c r="X77" s="858"/>
    </row>
    <row r="78" spans="1:24" x14ac:dyDescent="0.25">
      <c r="A78" s="858"/>
      <c r="B78" s="859"/>
      <c r="C78" s="859"/>
      <c r="D78" s="858"/>
      <c r="E78" s="858"/>
      <c r="F78" s="858"/>
      <c r="G78" s="858"/>
      <c r="H78" s="858"/>
      <c r="I78" s="858"/>
      <c r="J78" s="858"/>
      <c r="K78" s="858"/>
      <c r="L78" s="858"/>
      <c r="M78" s="858"/>
      <c r="N78" s="858"/>
      <c r="O78" s="858"/>
      <c r="P78" s="858"/>
      <c r="Q78" s="858"/>
      <c r="R78" s="859"/>
      <c r="S78" s="859"/>
      <c r="T78" s="858"/>
      <c r="U78" s="858"/>
      <c r="V78" s="858"/>
      <c r="W78" s="858"/>
      <c r="X78" s="858"/>
    </row>
    <row r="79" spans="1:24" x14ac:dyDescent="0.25">
      <c r="A79" s="858"/>
      <c r="B79" s="859"/>
      <c r="C79" s="859"/>
      <c r="D79" s="858"/>
      <c r="E79" s="858"/>
      <c r="F79" s="858"/>
      <c r="G79" s="858"/>
      <c r="H79" s="858"/>
      <c r="I79" s="858"/>
      <c r="J79" s="858"/>
      <c r="K79" s="858"/>
      <c r="L79" s="858"/>
      <c r="M79" s="858"/>
      <c r="N79" s="858"/>
      <c r="O79" s="858"/>
      <c r="P79" s="858"/>
      <c r="Q79" s="858"/>
      <c r="R79" s="859"/>
      <c r="S79" s="859"/>
      <c r="T79" s="858"/>
      <c r="U79" s="858"/>
      <c r="V79" s="858"/>
      <c r="W79" s="858"/>
      <c r="X79" s="858"/>
    </row>
    <row r="80" spans="1:24" x14ac:dyDescent="0.25">
      <c r="A80" s="858"/>
      <c r="B80" s="859"/>
      <c r="C80" s="859"/>
      <c r="D80" s="858"/>
      <c r="E80" s="858"/>
      <c r="F80" s="858"/>
      <c r="G80" s="858"/>
      <c r="H80" s="858"/>
      <c r="I80" s="858"/>
      <c r="J80" s="858"/>
      <c r="K80" s="858"/>
      <c r="L80" s="858"/>
      <c r="M80" s="858"/>
      <c r="N80" s="858"/>
      <c r="O80" s="858"/>
      <c r="P80" s="858"/>
      <c r="Q80" s="858"/>
      <c r="R80" s="859"/>
      <c r="S80" s="859"/>
      <c r="T80" s="858"/>
      <c r="U80" s="858"/>
      <c r="V80" s="858"/>
      <c r="W80" s="858"/>
      <c r="X80" s="858"/>
    </row>
    <row r="81" spans="1:24" x14ac:dyDescent="0.25">
      <c r="A81" s="858"/>
      <c r="B81" s="859"/>
      <c r="C81" s="859"/>
      <c r="D81" s="858"/>
      <c r="E81" s="858"/>
      <c r="F81" s="858"/>
      <c r="G81" s="858"/>
      <c r="H81" s="858"/>
      <c r="I81" s="858"/>
      <c r="J81" s="858"/>
      <c r="K81" s="858"/>
      <c r="L81" s="858"/>
      <c r="M81" s="858"/>
      <c r="N81" s="858"/>
      <c r="O81" s="858"/>
      <c r="P81" s="858"/>
      <c r="Q81" s="858"/>
      <c r="R81" s="859"/>
      <c r="S81" s="859"/>
      <c r="T81" s="858"/>
      <c r="U81" s="858"/>
      <c r="V81" s="858"/>
      <c r="W81" s="858"/>
      <c r="X81" s="858"/>
    </row>
  </sheetData>
  <sheetProtection algorithmName="SHA-512" hashValue="dQEQSC5KxU5H/O7hEhyCV0t46CZTangJ1FVrCQTG+BVdedSj6jnNMQEyiqihd2D7Nqj3jXu6YEQNKct2s+f+/A==" saltValue="HNZaM8L4Mi/TCPgIZQaW+w==" spinCount="100000" sheet="1" objects="1" scenarios="1"/>
  <mergeCells count="8">
    <mergeCell ref="J2:N2"/>
    <mergeCell ref="I3:I4"/>
    <mergeCell ref="J3:J4"/>
    <mergeCell ref="B18:B19"/>
    <mergeCell ref="C18:C19"/>
    <mergeCell ref="C2:G2"/>
    <mergeCell ref="C3:C4"/>
    <mergeCell ref="B3:B4"/>
  </mergeCell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F63B-2335-47E1-89AF-719925863AAB}">
  <dimension ref="B1:W66"/>
  <sheetViews>
    <sheetView zoomScale="80" zoomScaleNormal="80" workbookViewId="0">
      <selection activeCell="G16" sqref="G16"/>
    </sheetView>
  </sheetViews>
  <sheetFormatPr defaultColWidth="8.7109375" defaultRowHeight="15" x14ac:dyDescent="0.25"/>
  <cols>
    <col min="1" max="1" width="1.42578125" style="21" customWidth="1"/>
    <col min="2" max="2" width="27.7109375" style="21" customWidth="1"/>
    <col min="3" max="5" width="16.28515625" style="21" customWidth="1"/>
    <col min="6" max="6" width="10.5703125" style="21" customWidth="1"/>
    <col min="7" max="7" width="37.28515625" style="21" customWidth="1"/>
    <col min="8" max="9" width="8.7109375" style="21"/>
    <col min="10" max="10" width="13.85546875" style="21" bestFit="1" customWidth="1"/>
    <col min="11" max="11" width="11.5703125" style="21" bestFit="1" customWidth="1"/>
    <col min="12" max="12" width="9.5703125" style="21" customWidth="1"/>
    <col min="13" max="13" width="8.85546875" style="21" customWidth="1"/>
    <col min="14" max="14" width="11.28515625" style="21" customWidth="1"/>
    <col min="15" max="15" width="14.42578125" style="21" customWidth="1"/>
    <col min="16" max="16" width="13.28515625" style="21" customWidth="1"/>
    <col min="17" max="17" width="15" style="21" customWidth="1"/>
    <col min="18" max="18" width="8.7109375" style="21"/>
    <col min="19" max="19" width="8.85546875" style="21" customWidth="1"/>
    <col min="20" max="20" width="11.28515625" style="21" customWidth="1"/>
    <col min="21" max="21" width="14.5703125" style="21" customWidth="1"/>
    <col min="22" max="22" width="13.42578125" style="21" customWidth="1"/>
    <col min="23" max="23" width="14.85546875" style="21" customWidth="1"/>
    <col min="24" max="16384" width="8.7109375" style="21"/>
  </cols>
  <sheetData>
    <row r="1" spans="2:23" ht="53.25" customHeight="1" x14ac:dyDescent="0.25">
      <c r="C1" s="86" t="s">
        <v>443</v>
      </c>
      <c r="M1" s="984" t="s">
        <v>444</v>
      </c>
      <c r="N1" s="86"/>
    </row>
    <row r="2" spans="2:23" ht="16.5" customHeight="1" thickBot="1" x14ac:dyDescent="0.3"/>
    <row r="3" spans="2:23" ht="24.75" customHeight="1" thickBot="1" x14ac:dyDescent="0.3">
      <c r="B3" s="1120"/>
      <c r="C3" s="1121"/>
      <c r="D3" s="1121"/>
      <c r="E3" s="1121"/>
      <c r="F3" s="1121"/>
      <c r="G3" s="204" t="s">
        <v>4</v>
      </c>
    </row>
    <row r="4" spans="2:23" ht="33.75" customHeight="1" thickBot="1" x14ac:dyDescent="0.3">
      <c r="B4" s="400" t="s">
        <v>445</v>
      </c>
      <c r="C4" s="401" t="s">
        <v>235</v>
      </c>
      <c r="D4" s="969" t="s">
        <v>446</v>
      </c>
      <c r="E4" s="401" t="s">
        <v>389</v>
      </c>
      <c r="F4" s="302"/>
      <c r="G4" s="353"/>
      <c r="I4" s="402"/>
      <c r="J4" s="402"/>
      <c r="K4" s="402"/>
      <c r="L4" s="402"/>
      <c r="M4" s="402"/>
      <c r="N4" s="402"/>
    </row>
    <row r="5" spans="2:23" ht="15.75" customHeight="1" thickBot="1" x14ac:dyDescent="0.3">
      <c r="B5" s="403" t="s">
        <v>447</v>
      </c>
      <c r="C5" s="404">
        <f>'B2. Indata beräkning'!C30</f>
        <v>0</v>
      </c>
      <c r="D5" s="970"/>
      <c r="E5" s="405">
        <f>'B2. Indata beräkning'!F30</f>
        <v>0</v>
      </c>
      <c r="F5" s="406" t="s">
        <v>448</v>
      </c>
      <c r="G5" s="441"/>
    </row>
    <row r="6" spans="2:23" ht="15.75" customHeight="1" thickBot="1" x14ac:dyDescent="0.3">
      <c r="B6" s="403" t="s">
        <v>449</v>
      </c>
      <c r="C6" s="407">
        <f>'A. Byggnadsinfo med BBR'!D43</f>
        <v>0</v>
      </c>
      <c r="D6" s="971"/>
      <c r="E6" s="408">
        <f>'A. Byggnadsinfo med BBR'!E43</f>
        <v>0</v>
      </c>
      <c r="F6" s="409" t="s">
        <v>450</v>
      </c>
      <c r="G6" s="442"/>
      <c r="H6" s="95"/>
      <c r="I6" s="95"/>
      <c r="J6" s="95"/>
    </row>
    <row r="7" spans="2:23" ht="18" thickBot="1" x14ac:dyDescent="0.3">
      <c r="B7" s="403" t="s">
        <v>451</v>
      </c>
      <c r="C7" s="407">
        <f>'B2. Indata beräkning'!D18</f>
        <v>0</v>
      </c>
      <c r="D7" s="971"/>
      <c r="E7" s="408">
        <f>'B2. Indata beräkning'!G18</f>
        <v>0</v>
      </c>
      <c r="F7" s="409" t="s">
        <v>450</v>
      </c>
      <c r="G7" s="442"/>
    </row>
    <row r="8" spans="2:23" ht="16.5" thickBot="1" x14ac:dyDescent="0.3">
      <c r="B8" s="403" t="s">
        <v>452</v>
      </c>
      <c r="C8" s="929"/>
      <c r="D8" s="972">
        <f>C8</f>
        <v>0</v>
      </c>
      <c r="E8" s="410">
        <f>C8</f>
        <v>0</v>
      </c>
      <c r="F8" s="409" t="s">
        <v>453</v>
      </c>
      <c r="G8" s="442"/>
    </row>
    <row r="9" spans="2:23" ht="15.75" customHeight="1" thickBot="1" x14ac:dyDescent="0.3">
      <c r="B9" s="403" t="s">
        <v>454</v>
      </c>
      <c r="C9" s="929"/>
      <c r="D9" s="971"/>
      <c r="E9" s="444"/>
      <c r="F9" s="409" t="s">
        <v>86</v>
      </c>
      <c r="G9" s="442"/>
    </row>
    <row r="10" spans="2:23" ht="31.5" customHeight="1" thickBot="1" x14ac:dyDescent="0.4">
      <c r="B10" s="411" t="s">
        <v>455</v>
      </c>
      <c r="C10" s="929"/>
      <c r="D10" s="971"/>
      <c r="E10" s="444"/>
      <c r="F10" s="409" t="s">
        <v>456</v>
      </c>
      <c r="G10" s="443"/>
    </row>
    <row r="11" spans="2:23" ht="15.75" customHeight="1" thickBot="1" x14ac:dyDescent="0.35">
      <c r="B11" s="413" t="s">
        <v>457</v>
      </c>
      <c r="C11" s="929"/>
      <c r="D11" s="971"/>
      <c r="E11" s="444"/>
      <c r="F11" s="409" t="s">
        <v>456</v>
      </c>
      <c r="G11" s="442"/>
      <c r="M11" s="114" t="s">
        <v>10</v>
      </c>
      <c r="S11" s="114" t="s">
        <v>282</v>
      </c>
    </row>
    <row r="12" spans="2:23" ht="15.75" customHeight="1" thickBot="1" x14ac:dyDescent="0.35">
      <c r="B12" s="413" t="s">
        <v>458</v>
      </c>
      <c r="C12" s="929"/>
      <c r="D12" s="971"/>
      <c r="E12" s="444"/>
      <c r="F12" s="409" t="s">
        <v>456</v>
      </c>
      <c r="G12" s="442"/>
      <c r="I12" s="137" t="s">
        <v>459</v>
      </c>
      <c r="M12" s="414" t="s">
        <v>460</v>
      </c>
      <c r="N12" s="414" t="s">
        <v>461</v>
      </c>
      <c r="O12" s="414" t="s">
        <v>462</v>
      </c>
      <c r="P12" s="415" t="s">
        <v>463</v>
      </c>
      <c r="Q12" s="414" t="s">
        <v>464</v>
      </c>
      <c r="S12" s="414" t="s">
        <v>460</v>
      </c>
      <c r="T12" s="414" t="s">
        <v>461</v>
      </c>
      <c r="U12" s="414" t="s">
        <v>462</v>
      </c>
      <c r="V12" s="415" t="s">
        <v>463</v>
      </c>
      <c r="W12" s="414" t="s">
        <v>464</v>
      </c>
    </row>
    <row r="13" spans="2:23" ht="19.5" thickBot="1" x14ac:dyDescent="0.4">
      <c r="B13" s="403" t="s">
        <v>465</v>
      </c>
      <c r="C13" s="416">
        <f>'B2. Indata beräkning'!C32</f>
        <v>0</v>
      </c>
      <c r="D13" s="971"/>
      <c r="E13" s="417">
        <f>'B2. Indata beräkning'!H32</f>
        <v>0</v>
      </c>
      <c r="F13" s="409" t="s">
        <v>456</v>
      </c>
      <c r="G13" s="442"/>
      <c r="J13" s="418">
        <f>IFERROR(IF($E$6=0,0,($C$8*J14+K14)/$E$6),0)</f>
        <v>0</v>
      </c>
      <c r="K13" s="21" t="s">
        <v>466</v>
      </c>
      <c r="M13" s="419"/>
      <c r="N13" s="420" t="s">
        <v>467</v>
      </c>
      <c r="O13" s="420" t="s">
        <v>468</v>
      </c>
      <c r="P13" s="421" t="s">
        <v>469</v>
      </c>
      <c r="Q13" s="421" t="s">
        <v>470</v>
      </c>
      <c r="S13" s="419"/>
      <c r="T13" s="420" t="s">
        <v>467</v>
      </c>
      <c r="U13" s="420" t="s">
        <v>468</v>
      </c>
      <c r="V13" s="421" t="s">
        <v>469</v>
      </c>
      <c r="W13" s="421" t="s">
        <v>470</v>
      </c>
    </row>
    <row r="14" spans="2:23" ht="16.5" thickBot="1" x14ac:dyDescent="0.35">
      <c r="B14" s="422" t="s">
        <v>471</v>
      </c>
      <c r="C14" s="445"/>
      <c r="D14" s="973"/>
      <c r="E14" s="446"/>
      <c r="F14" s="409"/>
      <c r="G14" s="442"/>
      <c r="I14" s="951"/>
      <c r="J14" s="1006" t="str" cm="1">
        <f t="array" aca="1" ref="J14" ca="1">IFERROR(LINEST(INDIRECT(ADDRESS(CELL("row",Q14),CELL("col",Q14))&amp;":"&amp;ADDRESS(CELL("row",Q14)-1+MIN(COUNTIF(O14:O65,"&lt;&gt;0"),COUNTIF(Q14:Q65,"&lt;&gt;0")),CELL("col",Q13))),INDIRECT(ADDRESS(CELL("row",O14),CELL("col",O14))&amp;":"&amp;ADDRESS(CELL("row",O14)-1+MIN(COUNTIF(O14:O65,"&lt;&gt;0"),COUNTIF(Q14:Q65,"&lt;&gt;0")),CELL("col",O13)))),"")</f>
        <v/>
      </c>
      <c r="K14" s="1006"/>
      <c r="M14" s="423">
        <v>1</v>
      </c>
      <c r="N14" s="447"/>
      <c r="O14" s="447"/>
      <c r="P14" s="447"/>
      <c r="Q14" s="424">
        <f>IF(N14=0,0,P14/N14*1000)</f>
        <v>0</v>
      </c>
      <c r="S14" s="423">
        <v>1</v>
      </c>
      <c r="T14" s="447"/>
      <c r="U14" s="447"/>
      <c r="V14" s="447"/>
      <c r="W14" s="424">
        <f>IF(T14=0,0,V14/T14*1000)</f>
        <v>0</v>
      </c>
    </row>
    <row r="15" spans="2:23" ht="17.25" thickBot="1" x14ac:dyDescent="0.35">
      <c r="B15" s="422" t="s">
        <v>472</v>
      </c>
      <c r="C15" s="445"/>
      <c r="D15" s="973"/>
      <c r="E15" s="446"/>
      <c r="F15" s="409"/>
      <c r="G15" s="442"/>
      <c r="I15" s="137" t="s">
        <v>473</v>
      </c>
      <c r="J15" s="951"/>
      <c r="K15" s="951"/>
      <c r="M15" s="425">
        <v>2</v>
      </c>
      <c r="N15" s="447"/>
      <c r="O15" s="448"/>
      <c r="P15" s="448"/>
      <c r="Q15" s="424">
        <f t="shared" ref="Q15:Q65" si="0">IF(N15=0,0,P15/N15*1000)</f>
        <v>0</v>
      </c>
      <c r="S15" s="425">
        <v>2</v>
      </c>
      <c r="T15" s="447"/>
      <c r="U15" s="448"/>
      <c r="V15" s="448"/>
      <c r="W15" s="424">
        <f t="shared" ref="W15:W65" si="1">IF(T15=0,0,V15/T15*1000)</f>
        <v>0</v>
      </c>
    </row>
    <row r="16" spans="2:23" ht="18.75" x14ac:dyDescent="0.35">
      <c r="B16" s="403" t="s">
        <v>474</v>
      </c>
      <c r="C16" s="426">
        <f>IFERROR(((C13*C7*C14)/(1+C15/C14*((C11-C12)/(C13*C7))^2)),0)</f>
        <v>0</v>
      </c>
      <c r="D16" s="972">
        <f>IFERROR(((D13*D7*D14)/(1+D15/D14*((D11-D12)/(D13*D7))^2)),0)</f>
        <v>0</v>
      </c>
      <c r="E16" s="427">
        <f>IFERROR(((E13*E7*E14)/(1+E15/E14*((E11-E12)/(E13*E7))^2)),0)</f>
        <v>0</v>
      </c>
      <c r="F16" s="409" t="s">
        <v>456</v>
      </c>
      <c r="G16" s="442"/>
      <c r="I16" s="951"/>
      <c r="J16" s="418">
        <f>IFERROR(IF($C$6=0,0,($C$8*J17+K17)/$C$6),0)</f>
        <v>0</v>
      </c>
      <c r="K16" s="977" t="s">
        <v>475</v>
      </c>
      <c r="M16" s="425">
        <v>3</v>
      </c>
      <c r="N16" s="447"/>
      <c r="O16" s="448"/>
      <c r="P16" s="448"/>
      <c r="Q16" s="424">
        <f t="shared" si="0"/>
        <v>0</v>
      </c>
      <c r="S16" s="425">
        <v>3</v>
      </c>
      <c r="T16" s="447"/>
      <c r="U16" s="448"/>
      <c r="V16" s="448"/>
      <c r="W16" s="424">
        <f t="shared" si="1"/>
        <v>0</v>
      </c>
    </row>
    <row r="17" spans="2:23" ht="16.5" thickBot="1" x14ac:dyDescent="0.35">
      <c r="B17" s="428" t="s">
        <v>476</v>
      </c>
      <c r="C17" s="426">
        <f>C5*C7+1.2*C16+1.2*C10*(1-(C9-3)/100)</f>
        <v>0</v>
      </c>
      <c r="D17" s="972">
        <f>D5*D7+1.2*D16+1.2*D10*(1-(D9-3)/100)</f>
        <v>0</v>
      </c>
      <c r="E17" s="427">
        <f>E5*E7+1.2*E16+1.2*E10*(1-(E9-3)/100)</f>
        <v>0</v>
      </c>
      <c r="F17" s="409" t="s">
        <v>477</v>
      </c>
      <c r="G17" s="442"/>
      <c r="I17" s="951"/>
      <c r="J17" s="1006" t="str" cm="1">
        <f t="array" aca="1" ref="J17" ca="1">IFERROR(LINEST(INDIRECT(ADDRESS(CELL("row",$W$14),CELL("col",$W$14))&amp;":"&amp;ADDRESS(CELL("row",$W$14)-1+MIN(COUNTIF($U$14:$U$65,"&lt;&gt;0"),COUNTIF($W$14:$W$65,"&lt;&gt;0")),CELL("col",$W$14))),INDIRECT(ADDRESS(CELL("row",$U$14),CELL("col",$U$14))&amp;":"&amp;ADDRESS(CELL("row",$U$14)-1+MIN(COUNTIF($U$14:$U$65,"&lt;&gt;0"),COUNTIF($W$14:$W$65,"&lt;&gt;0")),CELL("col",$U$14)))),"")</f>
        <v/>
      </c>
      <c r="K17" s="1006"/>
      <c r="M17" s="425">
        <v>4</v>
      </c>
      <c r="N17" s="447"/>
      <c r="O17" s="448"/>
      <c r="P17" s="448"/>
      <c r="Q17" s="424">
        <f t="shared" si="0"/>
        <v>0</v>
      </c>
      <c r="S17" s="425">
        <v>4</v>
      </c>
      <c r="T17" s="447"/>
      <c r="U17" s="448"/>
      <c r="V17" s="448"/>
      <c r="W17" s="424">
        <f t="shared" si="1"/>
        <v>0</v>
      </c>
    </row>
    <row r="18" spans="2:23" ht="17.25" customHeight="1" thickBot="1" x14ac:dyDescent="0.3">
      <c r="B18" s="429" t="s">
        <v>478</v>
      </c>
      <c r="C18" s="430">
        <f>IF(C6=0,0,C17*(21-C8)/C6)</f>
        <v>0</v>
      </c>
      <c r="D18" s="974">
        <f t="shared" ref="D18:E18" si="2">IF(D6=0,0,D17*(21-D8)/D6)</f>
        <v>0</v>
      </c>
      <c r="E18" s="430">
        <f t="shared" si="2"/>
        <v>0</v>
      </c>
      <c r="F18" s="431" t="s">
        <v>479</v>
      </c>
      <c r="G18" s="442"/>
      <c r="M18" s="425">
        <v>5</v>
      </c>
      <c r="N18" s="447"/>
      <c r="O18" s="448"/>
      <c r="P18" s="448"/>
      <c r="Q18" s="424">
        <f t="shared" si="0"/>
        <v>0</v>
      </c>
      <c r="S18" s="425">
        <v>5</v>
      </c>
      <c r="T18" s="447"/>
      <c r="U18" s="448"/>
      <c r="V18" s="448"/>
      <c r="W18" s="424">
        <f t="shared" si="1"/>
        <v>0</v>
      </c>
    </row>
    <row r="19" spans="2:23" ht="15.75" thickBot="1" x14ac:dyDescent="0.3">
      <c r="B19" s="310"/>
      <c r="C19" s="432"/>
      <c r="D19" s="975"/>
      <c r="E19" s="433"/>
      <c r="F19" s="434"/>
      <c r="G19" s="442"/>
      <c r="M19" s="425">
        <v>6</v>
      </c>
      <c r="N19" s="447"/>
      <c r="O19" s="448"/>
      <c r="P19" s="448"/>
      <c r="Q19" s="424">
        <f t="shared" si="0"/>
        <v>0</v>
      </c>
      <c r="S19" s="425">
        <v>6</v>
      </c>
      <c r="T19" s="447"/>
      <c r="U19" s="448"/>
      <c r="V19" s="448"/>
      <c r="W19" s="424">
        <f t="shared" si="1"/>
        <v>0</v>
      </c>
    </row>
    <row r="20" spans="2:23" ht="15.75" thickBot="1" x14ac:dyDescent="0.3">
      <c r="B20" s="310"/>
      <c r="C20" s="407"/>
      <c r="D20" s="972"/>
      <c r="E20" s="408"/>
      <c r="F20" s="409"/>
      <c r="G20" s="442"/>
      <c r="M20" s="425">
        <v>7</v>
      </c>
      <c r="N20" s="447"/>
      <c r="O20" s="448"/>
      <c r="P20" s="448"/>
      <c r="Q20" s="424">
        <f t="shared" si="0"/>
        <v>0</v>
      </c>
      <c r="S20" s="425">
        <v>7</v>
      </c>
      <c r="T20" s="447"/>
      <c r="U20" s="448"/>
      <c r="V20" s="448"/>
      <c r="W20" s="424">
        <f t="shared" si="1"/>
        <v>0</v>
      </c>
    </row>
    <row r="21" spans="2:23" ht="15.75" thickBot="1" x14ac:dyDescent="0.3">
      <c r="B21" s="310"/>
      <c r="C21" s="435"/>
      <c r="D21" s="976"/>
      <c r="E21" s="436"/>
      <c r="F21" s="437"/>
      <c r="G21" s="352"/>
      <c r="M21" s="425">
        <v>8</v>
      </c>
      <c r="N21" s="448"/>
      <c r="O21" s="448"/>
      <c r="P21" s="448"/>
      <c r="Q21" s="424">
        <f t="shared" si="0"/>
        <v>0</v>
      </c>
      <c r="S21" s="425">
        <v>8</v>
      </c>
      <c r="T21" s="448"/>
      <c r="U21" s="448"/>
      <c r="V21" s="448"/>
      <c r="W21" s="424">
        <f t="shared" si="1"/>
        <v>0</v>
      </c>
    </row>
    <row r="22" spans="2:23" ht="16.5" x14ac:dyDescent="0.25">
      <c r="B22" s="438" t="s">
        <v>480</v>
      </c>
      <c r="G22" s="439"/>
      <c r="H22" s="440"/>
      <c r="M22" s="425">
        <v>9</v>
      </c>
      <c r="N22" s="448"/>
      <c r="O22" s="448"/>
      <c r="P22" s="448"/>
      <c r="Q22" s="424">
        <f t="shared" si="0"/>
        <v>0</v>
      </c>
      <c r="S22" s="425">
        <v>9</v>
      </c>
      <c r="T22" s="448"/>
      <c r="U22" s="448"/>
      <c r="V22" s="448"/>
      <c r="W22" s="424">
        <f t="shared" si="1"/>
        <v>0</v>
      </c>
    </row>
    <row r="23" spans="2:23" x14ac:dyDescent="0.25">
      <c r="G23" s="439"/>
      <c r="H23" s="440"/>
      <c r="M23" s="425">
        <v>10</v>
      </c>
      <c r="N23" s="448"/>
      <c r="O23" s="448"/>
      <c r="P23" s="448"/>
      <c r="Q23" s="424">
        <f t="shared" si="0"/>
        <v>0</v>
      </c>
      <c r="S23" s="425">
        <v>10</v>
      </c>
      <c r="T23" s="448"/>
      <c r="U23" s="448"/>
      <c r="V23" s="448"/>
      <c r="W23" s="424">
        <f t="shared" si="1"/>
        <v>0</v>
      </c>
    </row>
    <row r="24" spans="2:23" x14ac:dyDescent="0.25">
      <c r="M24" s="425">
        <v>11</v>
      </c>
      <c r="N24" s="448"/>
      <c r="O24" s="448"/>
      <c r="P24" s="448"/>
      <c r="Q24" s="424">
        <f t="shared" si="0"/>
        <v>0</v>
      </c>
      <c r="S24" s="425">
        <v>11</v>
      </c>
      <c r="T24" s="448"/>
      <c r="U24" s="448"/>
      <c r="V24" s="448"/>
      <c r="W24" s="424">
        <f t="shared" si="1"/>
        <v>0</v>
      </c>
    </row>
    <row r="25" spans="2:23" x14ac:dyDescent="0.25">
      <c r="M25" s="425">
        <v>12</v>
      </c>
      <c r="N25" s="448"/>
      <c r="O25" s="448"/>
      <c r="P25" s="448"/>
      <c r="Q25" s="424">
        <f t="shared" si="0"/>
        <v>0</v>
      </c>
      <c r="S25" s="425">
        <v>12</v>
      </c>
      <c r="T25" s="448"/>
      <c r="U25" s="448"/>
      <c r="V25" s="448"/>
      <c r="W25" s="424">
        <f t="shared" si="1"/>
        <v>0</v>
      </c>
    </row>
    <row r="26" spans="2:23" x14ac:dyDescent="0.25">
      <c r="M26" s="425">
        <v>13</v>
      </c>
      <c r="N26" s="448"/>
      <c r="O26" s="448"/>
      <c r="P26" s="448"/>
      <c r="Q26" s="424">
        <f t="shared" si="0"/>
        <v>0</v>
      </c>
      <c r="S26" s="425">
        <v>13</v>
      </c>
      <c r="T26" s="448"/>
      <c r="U26" s="448"/>
      <c r="V26" s="448"/>
      <c r="W26" s="424">
        <f t="shared" si="1"/>
        <v>0</v>
      </c>
    </row>
    <row r="27" spans="2:23" x14ac:dyDescent="0.25">
      <c r="M27" s="425">
        <v>14</v>
      </c>
      <c r="N27" s="448"/>
      <c r="O27" s="448"/>
      <c r="P27" s="448"/>
      <c r="Q27" s="424">
        <f t="shared" si="0"/>
        <v>0</v>
      </c>
      <c r="S27" s="425">
        <v>14</v>
      </c>
      <c r="T27" s="448"/>
      <c r="U27" s="448"/>
      <c r="V27" s="448"/>
      <c r="W27" s="424">
        <f t="shared" si="1"/>
        <v>0</v>
      </c>
    </row>
    <row r="28" spans="2:23" x14ac:dyDescent="0.25">
      <c r="M28" s="425">
        <v>15</v>
      </c>
      <c r="N28" s="448"/>
      <c r="O28" s="448"/>
      <c r="P28" s="448"/>
      <c r="Q28" s="424">
        <f t="shared" si="0"/>
        <v>0</v>
      </c>
      <c r="S28" s="425">
        <v>15</v>
      </c>
      <c r="T28" s="448"/>
      <c r="U28" s="448"/>
      <c r="V28" s="448"/>
      <c r="W28" s="424">
        <f t="shared" si="1"/>
        <v>0</v>
      </c>
    </row>
    <row r="29" spans="2:23" x14ac:dyDescent="0.25">
      <c r="M29" s="425">
        <v>16</v>
      </c>
      <c r="N29" s="448"/>
      <c r="O29" s="448"/>
      <c r="P29" s="448"/>
      <c r="Q29" s="424">
        <f t="shared" si="0"/>
        <v>0</v>
      </c>
      <c r="S29" s="425">
        <v>16</v>
      </c>
      <c r="T29" s="448"/>
      <c r="U29" s="448"/>
      <c r="V29" s="448"/>
      <c r="W29" s="424">
        <f t="shared" si="1"/>
        <v>0</v>
      </c>
    </row>
    <row r="30" spans="2:23" x14ac:dyDescent="0.25">
      <c r="M30" s="425">
        <v>17</v>
      </c>
      <c r="N30" s="448"/>
      <c r="O30" s="448"/>
      <c r="P30" s="448"/>
      <c r="Q30" s="424">
        <f t="shared" si="0"/>
        <v>0</v>
      </c>
      <c r="S30" s="425">
        <v>17</v>
      </c>
      <c r="T30" s="448"/>
      <c r="U30" s="448"/>
      <c r="V30" s="448"/>
      <c r="W30" s="424">
        <f t="shared" si="1"/>
        <v>0</v>
      </c>
    </row>
    <row r="31" spans="2:23" x14ac:dyDescent="0.25">
      <c r="M31" s="425">
        <v>18</v>
      </c>
      <c r="N31" s="448"/>
      <c r="O31" s="448"/>
      <c r="P31" s="448"/>
      <c r="Q31" s="424">
        <f t="shared" si="0"/>
        <v>0</v>
      </c>
      <c r="S31" s="425">
        <v>18</v>
      </c>
      <c r="T31" s="448"/>
      <c r="U31" s="448"/>
      <c r="V31" s="448"/>
      <c r="W31" s="424">
        <f t="shared" si="1"/>
        <v>0</v>
      </c>
    </row>
    <row r="32" spans="2:23" x14ac:dyDescent="0.25">
      <c r="M32" s="425">
        <v>19</v>
      </c>
      <c r="N32" s="448"/>
      <c r="O32" s="448"/>
      <c r="P32" s="448"/>
      <c r="Q32" s="424">
        <f t="shared" si="0"/>
        <v>0</v>
      </c>
      <c r="S32" s="425">
        <v>19</v>
      </c>
      <c r="T32" s="448"/>
      <c r="U32" s="448"/>
      <c r="V32" s="448"/>
      <c r="W32" s="424">
        <f t="shared" si="1"/>
        <v>0</v>
      </c>
    </row>
    <row r="33" spans="13:23" x14ac:dyDescent="0.25">
      <c r="M33" s="425">
        <v>20</v>
      </c>
      <c r="N33" s="448"/>
      <c r="O33" s="448"/>
      <c r="P33" s="448"/>
      <c r="Q33" s="424">
        <f t="shared" si="0"/>
        <v>0</v>
      </c>
      <c r="S33" s="425">
        <v>20</v>
      </c>
      <c r="T33" s="448"/>
      <c r="U33" s="448"/>
      <c r="V33" s="448"/>
      <c r="W33" s="424">
        <f t="shared" si="1"/>
        <v>0</v>
      </c>
    </row>
    <row r="34" spans="13:23" x14ac:dyDescent="0.25">
      <c r="M34" s="425">
        <v>21</v>
      </c>
      <c r="N34" s="448"/>
      <c r="O34" s="448"/>
      <c r="P34" s="448"/>
      <c r="Q34" s="424">
        <f t="shared" si="0"/>
        <v>0</v>
      </c>
      <c r="S34" s="425">
        <v>21</v>
      </c>
      <c r="T34" s="448"/>
      <c r="U34" s="448"/>
      <c r="V34" s="448"/>
      <c r="W34" s="424">
        <f t="shared" si="1"/>
        <v>0</v>
      </c>
    </row>
    <row r="35" spans="13:23" x14ac:dyDescent="0.25">
      <c r="M35" s="425">
        <v>22</v>
      </c>
      <c r="N35" s="448"/>
      <c r="O35" s="448"/>
      <c r="P35" s="448"/>
      <c r="Q35" s="424">
        <f t="shared" si="0"/>
        <v>0</v>
      </c>
      <c r="S35" s="425">
        <v>22</v>
      </c>
      <c r="T35" s="448"/>
      <c r="U35" s="448"/>
      <c r="V35" s="448"/>
      <c r="W35" s="424">
        <f t="shared" si="1"/>
        <v>0</v>
      </c>
    </row>
    <row r="36" spans="13:23" x14ac:dyDescent="0.25">
      <c r="M36" s="425">
        <v>23</v>
      </c>
      <c r="N36" s="448"/>
      <c r="O36" s="448"/>
      <c r="P36" s="448"/>
      <c r="Q36" s="424">
        <f t="shared" si="0"/>
        <v>0</v>
      </c>
      <c r="S36" s="425">
        <v>23</v>
      </c>
      <c r="T36" s="448"/>
      <c r="U36" s="448"/>
      <c r="V36" s="448"/>
      <c r="W36" s="424">
        <f t="shared" si="1"/>
        <v>0</v>
      </c>
    </row>
    <row r="37" spans="13:23" x14ac:dyDescent="0.25">
      <c r="M37" s="425">
        <v>24</v>
      </c>
      <c r="N37" s="448"/>
      <c r="O37" s="448"/>
      <c r="P37" s="448"/>
      <c r="Q37" s="424">
        <f t="shared" si="0"/>
        <v>0</v>
      </c>
      <c r="S37" s="425">
        <v>24</v>
      </c>
      <c r="T37" s="448"/>
      <c r="U37" s="448"/>
      <c r="V37" s="448"/>
      <c r="W37" s="424">
        <f t="shared" si="1"/>
        <v>0</v>
      </c>
    </row>
    <row r="38" spans="13:23" x14ac:dyDescent="0.25">
      <c r="M38" s="425">
        <v>25</v>
      </c>
      <c r="N38" s="448"/>
      <c r="O38" s="448"/>
      <c r="P38" s="448"/>
      <c r="Q38" s="424">
        <f t="shared" si="0"/>
        <v>0</v>
      </c>
      <c r="S38" s="425">
        <v>25</v>
      </c>
      <c r="T38" s="448"/>
      <c r="U38" s="448"/>
      <c r="V38" s="448"/>
      <c r="W38" s="424">
        <f t="shared" si="1"/>
        <v>0</v>
      </c>
    </row>
    <row r="39" spans="13:23" x14ac:dyDescent="0.25">
      <c r="M39" s="425">
        <v>26</v>
      </c>
      <c r="N39" s="448"/>
      <c r="O39" s="448"/>
      <c r="P39" s="448"/>
      <c r="Q39" s="424">
        <f t="shared" si="0"/>
        <v>0</v>
      </c>
      <c r="S39" s="425">
        <v>26</v>
      </c>
      <c r="T39" s="448"/>
      <c r="U39" s="448"/>
      <c r="V39" s="448"/>
      <c r="W39" s="424">
        <f t="shared" si="1"/>
        <v>0</v>
      </c>
    </row>
    <row r="40" spans="13:23" x14ac:dyDescent="0.25">
      <c r="M40" s="425">
        <v>27</v>
      </c>
      <c r="N40" s="448"/>
      <c r="O40" s="448"/>
      <c r="P40" s="448"/>
      <c r="Q40" s="424">
        <f t="shared" si="0"/>
        <v>0</v>
      </c>
      <c r="S40" s="425">
        <v>27</v>
      </c>
      <c r="T40" s="448"/>
      <c r="U40" s="448"/>
      <c r="V40" s="448"/>
      <c r="W40" s="424">
        <f t="shared" si="1"/>
        <v>0</v>
      </c>
    </row>
    <row r="41" spans="13:23" x14ac:dyDescent="0.25">
      <c r="M41" s="425">
        <v>28</v>
      </c>
      <c r="N41" s="448"/>
      <c r="O41" s="448"/>
      <c r="P41" s="448"/>
      <c r="Q41" s="424">
        <f t="shared" si="0"/>
        <v>0</v>
      </c>
      <c r="S41" s="425">
        <v>28</v>
      </c>
      <c r="T41" s="448"/>
      <c r="U41" s="448"/>
      <c r="V41" s="448"/>
      <c r="W41" s="424">
        <f t="shared" si="1"/>
        <v>0</v>
      </c>
    </row>
    <row r="42" spans="13:23" x14ac:dyDescent="0.25">
      <c r="M42" s="425">
        <v>29</v>
      </c>
      <c r="N42" s="448"/>
      <c r="O42" s="448"/>
      <c r="P42" s="448"/>
      <c r="Q42" s="424">
        <f t="shared" si="0"/>
        <v>0</v>
      </c>
      <c r="S42" s="425">
        <v>29</v>
      </c>
      <c r="T42" s="448"/>
      <c r="U42" s="448"/>
      <c r="V42" s="448"/>
      <c r="W42" s="424">
        <f t="shared" si="1"/>
        <v>0</v>
      </c>
    </row>
    <row r="43" spans="13:23" x14ac:dyDescent="0.25">
      <c r="M43" s="425">
        <v>30</v>
      </c>
      <c r="N43" s="448"/>
      <c r="O43" s="448"/>
      <c r="P43" s="448"/>
      <c r="Q43" s="424">
        <f t="shared" si="0"/>
        <v>0</v>
      </c>
      <c r="S43" s="425">
        <v>30</v>
      </c>
      <c r="T43" s="448"/>
      <c r="U43" s="448"/>
      <c r="V43" s="448"/>
      <c r="W43" s="424">
        <f t="shared" si="1"/>
        <v>0</v>
      </c>
    </row>
    <row r="44" spans="13:23" x14ac:dyDescent="0.25">
      <c r="M44" s="425">
        <v>31</v>
      </c>
      <c r="N44" s="448"/>
      <c r="O44" s="448"/>
      <c r="P44" s="448"/>
      <c r="Q44" s="424">
        <f t="shared" si="0"/>
        <v>0</v>
      </c>
      <c r="S44" s="425">
        <v>31</v>
      </c>
      <c r="T44" s="448"/>
      <c r="U44" s="448"/>
      <c r="V44" s="448"/>
      <c r="W44" s="424">
        <f t="shared" si="1"/>
        <v>0</v>
      </c>
    </row>
    <row r="45" spans="13:23" x14ac:dyDescent="0.25">
      <c r="M45" s="425">
        <v>32</v>
      </c>
      <c r="N45" s="448"/>
      <c r="O45" s="448"/>
      <c r="P45" s="448"/>
      <c r="Q45" s="424">
        <f t="shared" si="0"/>
        <v>0</v>
      </c>
      <c r="S45" s="425">
        <v>32</v>
      </c>
      <c r="T45" s="448"/>
      <c r="U45" s="448"/>
      <c r="V45" s="448"/>
      <c r="W45" s="424">
        <f t="shared" si="1"/>
        <v>0</v>
      </c>
    </row>
    <row r="46" spans="13:23" x14ac:dyDescent="0.25">
      <c r="M46" s="425">
        <v>33</v>
      </c>
      <c r="N46" s="448"/>
      <c r="O46" s="448"/>
      <c r="P46" s="448"/>
      <c r="Q46" s="424">
        <f t="shared" si="0"/>
        <v>0</v>
      </c>
      <c r="S46" s="425">
        <v>33</v>
      </c>
      <c r="T46" s="448"/>
      <c r="U46" s="448"/>
      <c r="V46" s="448"/>
      <c r="W46" s="424">
        <f t="shared" si="1"/>
        <v>0</v>
      </c>
    </row>
    <row r="47" spans="13:23" x14ac:dyDescent="0.25">
      <c r="M47" s="425">
        <v>34</v>
      </c>
      <c r="N47" s="448"/>
      <c r="O47" s="448"/>
      <c r="P47" s="448"/>
      <c r="Q47" s="424">
        <f t="shared" si="0"/>
        <v>0</v>
      </c>
      <c r="S47" s="425">
        <v>34</v>
      </c>
      <c r="T47" s="448"/>
      <c r="U47" s="448"/>
      <c r="V47" s="448"/>
      <c r="W47" s="424">
        <f t="shared" si="1"/>
        <v>0</v>
      </c>
    </row>
    <row r="48" spans="13:23" x14ac:dyDescent="0.25">
      <c r="M48" s="425">
        <v>35</v>
      </c>
      <c r="N48" s="448"/>
      <c r="O48" s="448"/>
      <c r="P48" s="448"/>
      <c r="Q48" s="424">
        <f t="shared" si="0"/>
        <v>0</v>
      </c>
      <c r="S48" s="425">
        <v>35</v>
      </c>
      <c r="T48" s="448"/>
      <c r="U48" s="448"/>
      <c r="V48" s="448"/>
      <c r="W48" s="424">
        <f t="shared" si="1"/>
        <v>0</v>
      </c>
    </row>
    <row r="49" spans="13:23" x14ac:dyDescent="0.25">
      <c r="M49" s="425">
        <v>36</v>
      </c>
      <c r="N49" s="448"/>
      <c r="O49" s="448"/>
      <c r="P49" s="448"/>
      <c r="Q49" s="424">
        <f t="shared" si="0"/>
        <v>0</v>
      </c>
      <c r="S49" s="425">
        <v>36</v>
      </c>
      <c r="T49" s="448"/>
      <c r="U49" s="448"/>
      <c r="V49" s="448"/>
      <c r="W49" s="424">
        <f t="shared" si="1"/>
        <v>0</v>
      </c>
    </row>
    <row r="50" spans="13:23" x14ac:dyDescent="0.25">
      <c r="M50" s="425">
        <v>37</v>
      </c>
      <c r="N50" s="448"/>
      <c r="O50" s="448"/>
      <c r="P50" s="448"/>
      <c r="Q50" s="424">
        <f t="shared" si="0"/>
        <v>0</v>
      </c>
      <c r="S50" s="425">
        <v>37</v>
      </c>
      <c r="T50" s="448"/>
      <c r="U50" s="448"/>
      <c r="V50" s="448"/>
      <c r="W50" s="424">
        <f t="shared" si="1"/>
        <v>0</v>
      </c>
    </row>
    <row r="51" spans="13:23" x14ac:dyDescent="0.25">
      <c r="M51" s="425">
        <v>38</v>
      </c>
      <c r="N51" s="448"/>
      <c r="O51" s="448"/>
      <c r="P51" s="448"/>
      <c r="Q51" s="424">
        <f t="shared" si="0"/>
        <v>0</v>
      </c>
      <c r="S51" s="425">
        <v>38</v>
      </c>
      <c r="T51" s="448"/>
      <c r="U51" s="448"/>
      <c r="V51" s="448"/>
      <c r="W51" s="424">
        <f t="shared" si="1"/>
        <v>0</v>
      </c>
    </row>
    <row r="52" spans="13:23" x14ac:dyDescent="0.25">
      <c r="M52" s="425">
        <v>39</v>
      </c>
      <c r="N52" s="448"/>
      <c r="O52" s="448"/>
      <c r="P52" s="448"/>
      <c r="Q52" s="424">
        <f t="shared" si="0"/>
        <v>0</v>
      </c>
      <c r="S52" s="425">
        <v>39</v>
      </c>
      <c r="T52" s="448"/>
      <c r="U52" s="448"/>
      <c r="V52" s="448"/>
      <c r="W52" s="424">
        <f t="shared" si="1"/>
        <v>0</v>
      </c>
    </row>
    <row r="53" spans="13:23" x14ac:dyDescent="0.25">
      <c r="M53" s="425">
        <v>40</v>
      </c>
      <c r="N53" s="448"/>
      <c r="O53" s="448"/>
      <c r="P53" s="448"/>
      <c r="Q53" s="424">
        <f t="shared" si="0"/>
        <v>0</v>
      </c>
      <c r="S53" s="425">
        <v>40</v>
      </c>
      <c r="T53" s="448"/>
      <c r="U53" s="448"/>
      <c r="V53" s="448"/>
      <c r="W53" s="424">
        <f t="shared" si="1"/>
        <v>0</v>
      </c>
    </row>
    <row r="54" spans="13:23" x14ac:dyDescent="0.25">
      <c r="M54" s="425">
        <v>41</v>
      </c>
      <c r="N54" s="448"/>
      <c r="O54" s="448"/>
      <c r="P54" s="448"/>
      <c r="Q54" s="424">
        <f t="shared" si="0"/>
        <v>0</v>
      </c>
      <c r="S54" s="425">
        <v>41</v>
      </c>
      <c r="T54" s="448"/>
      <c r="U54" s="448"/>
      <c r="V54" s="448"/>
      <c r="W54" s="424">
        <f t="shared" si="1"/>
        <v>0</v>
      </c>
    </row>
    <row r="55" spans="13:23" x14ac:dyDescent="0.25">
      <c r="M55" s="425">
        <v>42</v>
      </c>
      <c r="N55" s="448"/>
      <c r="O55" s="448"/>
      <c r="P55" s="448"/>
      <c r="Q55" s="424">
        <f t="shared" si="0"/>
        <v>0</v>
      </c>
      <c r="S55" s="425">
        <v>42</v>
      </c>
      <c r="T55" s="448"/>
      <c r="U55" s="448"/>
      <c r="V55" s="448"/>
      <c r="W55" s="424">
        <f t="shared" si="1"/>
        <v>0</v>
      </c>
    </row>
    <row r="56" spans="13:23" x14ac:dyDescent="0.25">
      <c r="M56" s="425">
        <v>43</v>
      </c>
      <c r="N56" s="448"/>
      <c r="O56" s="448"/>
      <c r="P56" s="448"/>
      <c r="Q56" s="424">
        <f t="shared" si="0"/>
        <v>0</v>
      </c>
      <c r="S56" s="425">
        <v>43</v>
      </c>
      <c r="T56" s="448"/>
      <c r="U56" s="448"/>
      <c r="V56" s="448"/>
      <c r="W56" s="424">
        <f t="shared" si="1"/>
        <v>0</v>
      </c>
    </row>
    <row r="57" spans="13:23" x14ac:dyDescent="0.25">
      <c r="M57" s="425">
        <v>44</v>
      </c>
      <c r="N57" s="448"/>
      <c r="O57" s="448"/>
      <c r="P57" s="448"/>
      <c r="Q57" s="424">
        <f t="shared" si="0"/>
        <v>0</v>
      </c>
      <c r="S57" s="425">
        <v>44</v>
      </c>
      <c r="T57" s="448"/>
      <c r="U57" s="448"/>
      <c r="V57" s="448"/>
      <c r="W57" s="424">
        <f t="shared" si="1"/>
        <v>0</v>
      </c>
    </row>
    <row r="58" spans="13:23" x14ac:dyDescent="0.25">
      <c r="M58" s="425">
        <v>45</v>
      </c>
      <c r="N58" s="448"/>
      <c r="O58" s="448"/>
      <c r="P58" s="448"/>
      <c r="Q58" s="424">
        <f t="shared" si="0"/>
        <v>0</v>
      </c>
      <c r="S58" s="425">
        <v>45</v>
      </c>
      <c r="T58" s="448"/>
      <c r="U58" s="448"/>
      <c r="V58" s="448"/>
      <c r="W58" s="424">
        <f t="shared" si="1"/>
        <v>0</v>
      </c>
    </row>
    <row r="59" spans="13:23" x14ac:dyDescent="0.25">
      <c r="M59" s="425">
        <v>46</v>
      </c>
      <c r="N59" s="448"/>
      <c r="O59" s="448"/>
      <c r="P59" s="448"/>
      <c r="Q59" s="424">
        <f t="shared" si="0"/>
        <v>0</v>
      </c>
      <c r="S59" s="425">
        <v>46</v>
      </c>
      <c r="T59" s="448"/>
      <c r="U59" s="448"/>
      <c r="V59" s="448"/>
      <c r="W59" s="424">
        <f t="shared" si="1"/>
        <v>0</v>
      </c>
    </row>
    <row r="60" spans="13:23" x14ac:dyDescent="0.25">
      <c r="M60" s="425">
        <v>47</v>
      </c>
      <c r="N60" s="448"/>
      <c r="O60" s="448"/>
      <c r="P60" s="448"/>
      <c r="Q60" s="424">
        <f t="shared" si="0"/>
        <v>0</v>
      </c>
      <c r="S60" s="425">
        <v>47</v>
      </c>
      <c r="T60" s="448"/>
      <c r="U60" s="448"/>
      <c r="V60" s="448"/>
      <c r="W60" s="424">
        <f t="shared" si="1"/>
        <v>0</v>
      </c>
    </row>
    <row r="61" spans="13:23" x14ac:dyDescent="0.25">
      <c r="M61" s="425">
        <v>48</v>
      </c>
      <c r="N61" s="448"/>
      <c r="O61" s="448"/>
      <c r="P61" s="448"/>
      <c r="Q61" s="424">
        <f t="shared" si="0"/>
        <v>0</v>
      </c>
      <c r="S61" s="425">
        <v>48</v>
      </c>
      <c r="T61" s="448"/>
      <c r="U61" s="448"/>
      <c r="V61" s="448"/>
      <c r="W61" s="424">
        <f t="shared" si="1"/>
        <v>0</v>
      </c>
    </row>
    <row r="62" spans="13:23" x14ac:dyDescent="0.25">
      <c r="M62" s="425">
        <v>49</v>
      </c>
      <c r="N62" s="448"/>
      <c r="O62" s="448"/>
      <c r="P62" s="448"/>
      <c r="Q62" s="424">
        <f t="shared" si="0"/>
        <v>0</v>
      </c>
      <c r="S62" s="425">
        <v>49</v>
      </c>
      <c r="T62" s="448"/>
      <c r="U62" s="448"/>
      <c r="V62" s="448"/>
      <c r="W62" s="424">
        <f t="shared" si="1"/>
        <v>0</v>
      </c>
    </row>
    <row r="63" spans="13:23" x14ac:dyDescent="0.25">
      <c r="M63" s="425">
        <v>50</v>
      </c>
      <c r="N63" s="448"/>
      <c r="O63" s="448"/>
      <c r="P63" s="448"/>
      <c r="Q63" s="424">
        <f t="shared" si="0"/>
        <v>0</v>
      </c>
      <c r="S63" s="425">
        <v>50</v>
      </c>
      <c r="T63" s="448"/>
      <c r="U63" s="448"/>
      <c r="V63" s="448"/>
      <c r="W63" s="424">
        <f t="shared" si="1"/>
        <v>0</v>
      </c>
    </row>
    <row r="64" spans="13:23" x14ac:dyDescent="0.25">
      <c r="M64" s="425">
        <v>51</v>
      </c>
      <c r="N64" s="448"/>
      <c r="O64" s="448"/>
      <c r="P64" s="448"/>
      <c r="Q64" s="424">
        <f t="shared" si="0"/>
        <v>0</v>
      </c>
      <c r="S64" s="425">
        <v>51</v>
      </c>
      <c r="T64" s="448"/>
      <c r="U64" s="448"/>
      <c r="V64" s="448"/>
      <c r="W64" s="424">
        <f t="shared" si="1"/>
        <v>0</v>
      </c>
    </row>
    <row r="65" spans="13:23" x14ac:dyDescent="0.25">
      <c r="M65" s="425">
        <v>52</v>
      </c>
      <c r="N65" s="448"/>
      <c r="O65" s="448"/>
      <c r="P65" s="448"/>
      <c r="Q65" s="424">
        <f t="shared" si="0"/>
        <v>0</v>
      </c>
      <c r="S65" s="425">
        <v>52</v>
      </c>
      <c r="T65" s="448"/>
      <c r="U65" s="448"/>
      <c r="V65" s="448"/>
      <c r="W65" s="424">
        <f t="shared" si="1"/>
        <v>0</v>
      </c>
    </row>
    <row r="66" spans="13:23" x14ac:dyDescent="0.25">
      <c r="M66" s="449"/>
      <c r="N66" s="448"/>
      <c r="O66" s="448"/>
      <c r="P66" s="448"/>
      <c r="Q66" s="424"/>
      <c r="S66" s="449"/>
      <c r="T66" s="448"/>
      <c r="U66" s="448"/>
      <c r="V66" s="448"/>
      <c r="W66" s="424"/>
    </row>
  </sheetData>
  <sheetProtection algorithmName="SHA-512" hashValue="NgB1oq0Lk2B3dLoHOTauORDomo9YHqGjMRxMX1EIhZqvHivQEAjqcM/kOBK317+dmKwum8PTU5Bkr68l7L1k4Q==" saltValue="4CQJa3oWo/vuo4DinZjg1w==" spinCount="100000" sheet="1" objects="1" scenarios="1"/>
  <mergeCells count="1">
    <mergeCell ref="B3:F3"/>
  </mergeCells>
  <phoneticPr fontId="40" type="noConversion"/>
  <pageMargins left="0.7" right="0.7" top="0.75" bottom="0.75" header="0.3" footer="0.3"/>
  <pageSetup paperSize="9" orientation="portrait" horizontalDpi="30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E75"/>
  <sheetViews>
    <sheetView topLeftCell="A23" zoomScale="80" zoomScaleNormal="80" zoomScalePageLayoutView="60" workbookViewId="0">
      <selection activeCell="K60" sqref="K60:M60"/>
    </sheetView>
  </sheetViews>
  <sheetFormatPr defaultColWidth="8.7109375" defaultRowHeight="15" x14ac:dyDescent="0.25"/>
  <cols>
    <col min="1" max="1" width="1.5703125" style="21" customWidth="1"/>
    <col min="2" max="2" width="35.28515625" style="21" customWidth="1"/>
    <col min="3" max="3" width="14.7109375" style="21" customWidth="1"/>
    <col min="4" max="5" width="14.5703125" style="21" customWidth="1"/>
    <col min="6" max="6" width="14.7109375" style="21" customWidth="1"/>
    <col min="7" max="7" width="14.85546875" style="21" customWidth="1"/>
    <col min="8" max="8" width="14.7109375" style="21" customWidth="1"/>
    <col min="9" max="10" width="14.85546875" style="21" customWidth="1"/>
    <col min="11" max="11" width="15.42578125" style="21" customWidth="1"/>
    <col min="12" max="12" width="8.5703125" style="21" customWidth="1"/>
    <col min="13" max="13" width="13.28515625" style="21" customWidth="1"/>
    <col min="14" max="14" width="7.5703125" style="21" customWidth="1"/>
    <col min="15" max="15" width="13.5703125" style="21" customWidth="1"/>
    <col min="16" max="17" width="10.5703125" style="21" customWidth="1"/>
    <col min="18" max="30" width="8.7109375" style="21"/>
    <col min="31" max="31" width="9.5703125" style="21" customWidth="1"/>
    <col min="32" max="16384" width="8.7109375" style="21"/>
  </cols>
  <sheetData>
    <row r="1" spans="1:57" ht="8.25" customHeight="1" x14ac:dyDescent="0.25">
      <c r="A1" s="32"/>
    </row>
    <row r="2" spans="1:57" ht="21" x14ac:dyDescent="0.35">
      <c r="A2" s="32"/>
      <c r="C2" s="450" t="s">
        <v>481</v>
      </c>
      <c r="E2" s="115"/>
      <c r="F2" s="115"/>
      <c r="G2" s="115"/>
      <c r="H2" s="115"/>
      <c r="I2" s="115"/>
      <c r="J2" s="115"/>
      <c r="K2" s="115"/>
      <c r="L2" s="115"/>
      <c r="M2" s="115"/>
      <c r="N2" s="115"/>
      <c r="O2" s="115"/>
      <c r="P2" s="115"/>
    </row>
    <row r="3" spans="1:57" ht="15.75" x14ac:dyDescent="0.3">
      <c r="A3" s="32"/>
      <c r="F3" s="115"/>
      <c r="G3" s="115"/>
      <c r="H3" s="115"/>
      <c r="I3" s="115"/>
      <c r="J3" s="115"/>
      <c r="K3" s="115"/>
      <c r="L3" s="115"/>
      <c r="M3" s="115"/>
      <c r="N3" s="115"/>
      <c r="O3" s="451"/>
      <c r="P3" s="115"/>
    </row>
    <row r="4" spans="1:57" ht="15.75" hidden="1" x14ac:dyDescent="0.3">
      <c r="A4" s="32"/>
      <c r="B4" s="115"/>
      <c r="C4" s="451" t="s">
        <v>482</v>
      </c>
      <c r="D4" s="452" t="e">
        <f>#REF!</f>
        <v>#REF!</v>
      </c>
      <c r="E4" s="453" t="s">
        <v>55</v>
      </c>
      <c r="F4" s="115"/>
      <c r="G4" s="115"/>
      <c r="H4" s="115"/>
      <c r="I4" s="454" t="s">
        <v>483</v>
      </c>
      <c r="J4" s="454"/>
      <c r="K4" s="455"/>
      <c r="L4" s="454" t="s">
        <v>484</v>
      </c>
      <c r="M4" s="455"/>
      <c r="N4" s="115"/>
      <c r="O4" s="451"/>
      <c r="P4" s="115"/>
    </row>
    <row r="5" spans="1:57" ht="3" hidden="1" customHeight="1" thickBot="1" x14ac:dyDescent="0.35">
      <c r="A5" s="32"/>
      <c r="B5" s="115"/>
      <c r="C5" s="451"/>
      <c r="D5" s="115"/>
      <c r="E5" s="453"/>
      <c r="F5" s="115"/>
      <c r="G5" s="115"/>
      <c r="H5" s="115"/>
      <c r="I5" s="115"/>
      <c r="J5" s="115"/>
      <c r="K5" s="115"/>
      <c r="L5" s="115"/>
      <c r="M5" s="115"/>
      <c r="N5" s="115"/>
      <c r="O5" s="115"/>
      <c r="P5" s="115"/>
    </row>
    <row r="6" spans="1:57" ht="15.75" hidden="1" x14ac:dyDescent="0.3">
      <c r="A6" s="32"/>
      <c r="B6" s="115"/>
      <c r="C6" s="451" t="s">
        <v>485</v>
      </c>
      <c r="D6" s="452" t="e">
        <f>#REF!</f>
        <v>#REF!</v>
      </c>
      <c r="E6" s="453"/>
      <c r="F6" s="115"/>
      <c r="G6" s="115"/>
      <c r="H6" s="412"/>
      <c r="I6" s="454" t="s">
        <v>486</v>
      </c>
      <c r="J6" s="454"/>
      <c r="K6" s="455"/>
      <c r="L6" s="454" t="s">
        <v>487</v>
      </c>
      <c r="M6" s="456"/>
      <c r="P6" s="115"/>
    </row>
    <row r="7" spans="1:57" ht="3" hidden="1" customHeight="1" thickBot="1" x14ac:dyDescent="0.35">
      <c r="A7" s="32"/>
      <c r="B7" s="115"/>
      <c r="C7" s="451"/>
      <c r="D7" s="115"/>
      <c r="E7" s="453"/>
      <c r="F7" s="115"/>
      <c r="G7" s="115"/>
      <c r="H7" s="115"/>
      <c r="I7" s="115"/>
      <c r="J7" s="115"/>
      <c r="K7" s="115"/>
      <c r="L7" s="115"/>
      <c r="M7" s="115"/>
      <c r="N7" s="115"/>
      <c r="O7" s="115"/>
      <c r="P7" s="115"/>
    </row>
    <row r="8" spans="1:57" ht="15.75" hidden="1" x14ac:dyDescent="0.3">
      <c r="A8" s="32"/>
      <c r="B8" s="115"/>
      <c r="C8" s="451" t="s">
        <v>488</v>
      </c>
      <c r="D8" s="457" t="e">
        <f>#REF!</f>
        <v>#REF!</v>
      </c>
      <c r="E8" s="453" t="s">
        <v>64</v>
      </c>
      <c r="F8" s="115"/>
      <c r="G8" s="115"/>
      <c r="H8" s="115"/>
      <c r="I8" s="115"/>
      <c r="J8" s="115"/>
      <c r="K8" s="115"/>
      <c r="L8" s="115"/>
      <c r="M8" s="1291"/>
      <c r="N8" s="1292"/>
      <c r="O8" s="182"/>
      <c r="P8" s="115"/>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row>
    <row r="9" spans="1:57" ht="3" hidden="1" customHeight="1" thickBot="1" x14ac:dyDescent="0.35">
      <c r="A9" s="32"/>
      <c r="B9" s="115"/>
      <c r="C9" s="115"/>
      <c r="D9" s="115"/>
      <c r="E9" s="453"/>
      <c r="F9" s="115"/>
      <c r="G9" s="115"/>
      <c r="H9" s="115"/>
      <c r="I9" s="115"/>
      <c r="J9" s="115"/>
      <c r="K9" s="115"/>
      <c r="L9" s="115"/>
      <c r="M9" s="115"/>
      <c r="N9" s="115"/>
      <c r="O9" s="115"/>
      <c r="P9" s="115"/>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row>
    <row r="10" spans="1:57" ht="15.75" hidden="1" customHeight="1" thickBot="1" x14ac:dyDescent="0.4">
      <c r="A10" s="32"/>
      <c r="B10" s="115"/>
      <c r="C10" s="451" t="s">
        <v>489</v>
      </c>
      <c r="D10" s="458" t="e">
        <f>#REF!</f>
        <v>#REF!</v>
      </c>
      <c r="E10" s="453"/>
      <c r="F10" s="115"/>
      <c r="G10" s="115"/>
      <c r="H10" s="115"/>
      <c r="I10" s="115"/>
      <c r="J10" s="115"/>
      <c r="K10" s="115"/>
      <c r="L10" s="115"/>
      <c r="M10" s="115"/>
      <c r="N10" s="454" t="s">
        <v>129</v>
      </c>
      <c r="O10" s="455"/>
      <c r="P10" s="459" t="s">
        <v>490</v>
      </c>
    </row>
    <row r="11" spans="1:57" ht="3.6" hidden="1" customHeight="1" thickBot="1" x14ac:dyDescent="0.35">
      <c r="A11" s="32"/>
      <c r="B11" s="115"/>
      <c r="C11" s="451"/>
      <c r="D11" s="97"/>
      <c r="E11" s="453"/>
      <c r="F11" s="115"/>
      <c r="G11" s="115"/>
      <c r="H11" s="115"/>
      <c r="I11" s="115"/>
      <c r="J11" s="115"/>
      <c r="K11" s="115"/>
      <c r="L11" s="115"/>
      <c r="M11" s="115"/>
      <c r="N11" s="451"/>
      <c r="O11" s="115"/>
      <c r="P11" s="115"/>
    </row>
    <row r="12" spans="1:57" ht="15.75" hidden="1" customHeight="1" thickBot="1" x14ac:dyDescent="0.35">
      <c r="A12" s="32"/>
      <c r="B12" s="115"/>
      <c r="C12" s="451"/>
      <c r="D12" s="97"/>
      <c r="E12" s="453" t="s">
        <v>69</v>
      </c>
      <c r="F12" s="115"/>
      <c r="G12" s="115"/>
      <c r="H12" s="115"/>
      <c r="I12" s="454" t="s">
        <v>483</v>
      </c>
      <c r="J12" s="454"/>
      <c r="K12" s="455"/>
      <c r="L12" s="454" t="s">
        <v>484</v>
      </c>
      <c r="M12" s="455"/>
      <c r="N12" s="451"/>
      <c r="O12" s="115"/>
      <c r="P12" s="115"/>
    </row>
    <row r="13" spans="1:57" ht="3.6" hidden="1" customHeight="1" thickBot="1" x14ac:dyDescent="0.35">
      <c r="A13" s="32"/>
      <c r="B13" s="115"/>
      <c r="C13" s="451"/>
      <c r="D13" s="97"/>
      <c r="E13" s="453"/>
      <c r="F13" s="115"/>
      <c r="G13" s="115"/>
      <c r="H13" s="115"/>
      <c r="I13" s="459"/>
      <c r="J13" s="459"/>
      <c r="K13" s="115"/>
      <c r="L13" s="115"/>
      <c r="M13" s="115"/>
      <c r="N13" s="451"/>
      <c r="O13" s="115"/>
      <c r="P13" s="115"/>
    </row>
    <row r="14" spans="1:57" ht="15.75" hidden="1" customHeight="1" thickBot="1" x14ac:dyDescent="0.35">
      <c r="A14" s="32"/>
      <c r="B14" s="115"/>
      <c r="C14" s="451"/>
      <c r="D14" s="97"/>
      <c r="E14" s="453"/>
      <c r="F14" s="115"/>
      <c r="G14" s="115"/>
      <c r="H14" s="115"/>
      <c r="I14" s="454" t="s">
        <v>486</v>
      </c>
      <c r="J14" s="454"/>
      <c r="K14" s="455"/>
      <c r="L14" s="454" t="s">
        <v>487</v>
      </c>
      <c r="M14" s="456"/>
      <c r="N14" s="451"/>
      <c r="O14" s="115"/>
      <c r="P14" s="115"/>
    </row>
    <row r="15" spans="1:57" ht="3" hidden="1" customHeight="1" thickBot="1" x14ac:dyDescent="0.35">
      <c r="A15" s="32"/>
      <c r="B15" s="115"/>
      <c r="C15" s="451"/>
      <c r="D15" s="97"/>
      <c r="E15" s="453"/>
      <c r="F15" s="115"/>
      <c r="G15" s="97"/>
      <c r="H15" s="97"/>
      <c r="I15" s="97"/>
      <c r="J15" s="97"/>
      <c r="K15" s="103"/>
      <c r="L15" s="103"/>
      <c r="M15" s="103"/>
      <c r="N15" s="451"/>
      <c r="O15" s="115"/>
      <c r="P15" s="115"/>
    </row>
    <row r="16" spans="1:57" ht="15.75" hidden="1" customHeight="1" thickBot="1" x14ac:dyDescent="0.35">
      <c r="A16" s="32"/>
      <c r="B16" s="115"/>
      <c r="C16" s="451"/>
      <c r="D16" s="97"/>
      <c r="E16" s="453"/>
      <c r="F16" s="115"/>
      <c r="G16" s="459" t="s">
        <v>491</v>
      </c>
      <c r="H16" s="115"/>
      <c r="I16" s="460" t="s">
        <v>492</v>
      </c>
      <c r="J16" s="461"/>
      <c r="K16" s="103"/>
      <c r="L16" s="103"/>
      <c r="M16" s="103"/>
      <c r="N16" s="451"/>
      <c r="O16" s="115"/>
      <c r="P16" s="115"/>
    </row>
    <row r="17" spans="1:25" ht="3" hidden="1" customHeight="1" thickBot="1" x14ac:dyDescent="0.35">
      <c r="A17" s="32"/>
      <c r="B17" s="115"/>
      <c r="C17" s="115"/>
      <c r="D17" s="115"/>
      <c r="E17" s="453"/>
      <c r="F17" s="115"/>
      <c r="G17" s="115"/>
      <c r="H17" s="115"/>
      <c r="I17" s="115"/>
      <c r="J17" s="115"/>
      <c r="K17" s="115"/>
      <c r="L17" s="115"/>
      <c r="M17" s="115"/>
      <c r="N17" s="115"/>
      <c r="O17" s="115"/>
      <c r="P17" s="115"/>
    </row>
    <row r="18" spans="1:25" ht="18" hidden="1" x14ac:dyDescent="0.3">
      <c r="A18" s="32"/>
      <c r="B18" s="115"/>
      <c r="C18" s="451" t="s">
        <v>493</v>
      </c>
      <c r="D18" s="456" t="s">
        <v>492</v>
      </c>
      <c r="E18" s="453" t="s">
        <v>76</v>
      </c>
      <c r="F18" s="115"/>
      <c r="G18" s="115"/>
      <c r="H18" s="115"/>
      <c r="I18" s="115"/>
      <c r="J18" s="115"/>
      <c r="K18" s="115"/>
      <c r="L18" s="115"/>
      <c r="M18" s="115"/>
      <c r="N18" s="454" t="s">
        <v>494</v>
      </c>
      <c r="O18" s="455"/>
      <c r="P18" s="115" t="s">
        <v>495</v>
      </c>
    </row>
    <row r="19" spans="1:25" ht="3" hidden="1" customHeight="1" thickBot="1" x14ac:dyDescent="0.35">
      <c r="A19" s="32"/>
      <c r="B19" s="115"/>
      <c r="C19" s="451"/>
      <c r="D19" s="115"/>
      <c r="E19" s="453"/>
      <c r="F19" s="115"/>
      <c r="G19" s="115"/>
      <c r="H19" s="115"/>
      <c r="I19" s="115"/>
      <c r="J19" s="115"/>
      <c r="K19" s="115"/>
      <c r="L19" s="115"/>
      <c r="M19" s="115"/>
      <c r="N19" s="115"/>
      <c r="O19" s="115"/>
      <c r="P19" s="115"/>
    </row>
    <row r="20" spans="1:25" ht="15.75" hidden="1" x14ac:dyDescent="0.3">
      <c r="A20" s="32"/>
      <c r="B20" s="115"/>
      <c r="C20" s="451" t="s">
        <v>496</v>
      </c>
      <c r="D20" s="455"/>
      <c r="E20" s="453" t="s">
        <v>82</v>
      </c>
      <c r="F20" s="115"/>
      <c r="G20" s="115"/>
      <c r="H20" s="115"/>
      <c r="I20" s="115"/>
      <c r="J20" s="115"/>
      <c r="K20" s="1299"/>
      <c r="L20" s="1292"/>
      <c r="M20" s="115"/>
      <c r="N20" s="115"/>
      <c r="O20" s="115"/>
      <c r="P20" s="462"/>
    </row>
    <row r="21" spans="1:25" ht="3" hidden="1" customHeight="1" thickBot="1" x14ac:dyDescent="0.35">
      <c r="A21" s="32"/>
      <c r="B21" s="115"/>
      <c r="C21" s="451"/>
      <c r="D21" s="451"/>
      <c r="E21" s="115"/>
      <c r="F21" s="115"/>
      <c r="G21" s="115"/>
      <c r="H21" s="115"/>
      <c r="I21" s="115"/>
      <c r="J21" s="115"/>
      <c r="K21" s="115"/>
      <c r="L21" s="115"/>
      <c r="M21" s="115"/>
      <c r="N21" s="115"/>
      <c r="O21" s="115"/>
      <c r="P21" s="97"/>
    </row>
    <row r="22" spans="1:25" ht="15.75" hidden="1" x14ac:dyDescent="0.3">
      <c r="A22" s="32"/>
      <c r="B22" s="115"/>
      <c r="C22" s="451" t="s">
        <v>497</v>
      </c>
      <c r="D22" s="455"/>
      <c r="E22" s="451"/>
      <c r="F22" s="115"/>
      <c r="G22" s="115"/>
      <c r="H22" s="115"/>
      <c r="I22" s="115"/>
      <c r="J22" s="115"/>
      <c r="K22" s="115"/>
      <c r="L22" s="115"/>
      <c r="M22" s="115"/>
      <c r="N22" s="115"/>
      <c r="O22" s="115"/>
      <c r="P22" s="97"/>
    </row>
    <row r="23" spans="1:25" ht="15.75" customHeight="1" thickBot="1" x14ac:dyDescent="0.35">
      <c r="A23" s="32"/>
      <c r="B23" s="115"/>
      <c r="C23" s="115"/>
      <c r="D23" s="182"/>
      <c r="E23" s="115"/>
      <c r="F23" s="115"/>
      <c r="G23" s="115"/>
      <c r="H23" s="115"/>
      <c r="I23" s="115"/>
      <c r="J23" s="115"/>
      <c r="K23" s="115"/>
      <c r="L23" s="115"/>
      <c r="M23" s="115"/>
      <c r="N23" s="115"/>
      <c r="O23" s="115"/>
      <c r="P23" s="115"/>
    </row>
    <row r="24" spans="1:25" ht="63.75" x14ac:dyDescent="0.35">
      <c r="A24" s="32"/>
      <c r="B24" s="463" t="s">
        <v>282</v>
      </c>
      <c r="C24" s="464" t="s">
        <v>498</v>
      </c>
      <c r="D24" s="465" t="s">
        <v>499</v>
      </c>
      <c r="E24" s="466" t="s">
        <v>500</v>
      </c>
      <c r="F24" s="467" t="s">
        <v>501</v>
      </c>
      <c r="G24" s="468" t="str">
        <f>C24</f>
        <v>Beräknad enl. relations-handling</v>
      </c>
      <c r="H24" s="469" t="str">
        <f>D24</f>
        <v>Uppmätt/ levererad</v>
      </c>
      <c r="I24" s="469" t="str">
        <f>E24</f>
        <v>Normaliserad med schablon</v>
      </c>
      <c r="J24" s="469" t="str">
        <f>F24</f>
        <v>Normaliserad med upprepad energiberäk-ning</v>
      </c>
      <c r="K24" s="1296" t="s">
        <v>104</v>
      </c>
      <c r="L24" s="1297"/>
      <c r="M24" s="1298"/>
      <c r="T24" s="95"/>
      <c r="U24" s="95"/>
      <c r="V24" s="95"/>
      <c r="W24" s="95"/>
      <c r="X24" s="95"/>
      <c r="Y24" s="95"/>
    </row>
    <row r="25" spans="1:25" ht="16.5" thickBot="1" x14ac:dyDescent="0.35">
      <c r="A25" s="32"/>
      <c r="B25" s="470"/>
      <c r="C25" s="471" t="s">
        <v>238</v>
      </c>
      <c r="D25" s="472" t="s">
        <v>238</v>
      </c>
      <c r="E25" s="473" t="s">
        <v>238</v>
      </c>
      <c r="F25" s="474" t="s">
        <v>238</v>
      </c>
      <c r="G25" s="475" t="s">
        <v>502</v>
      </c>
      <c r="H25" s="473" t="s">
        <v>503</v>
      </c>
      <c r="I25" s="473" t="s">
        <v>503</v>
      </c>
      <c r="J25" s="473" t="s">
        <v>503</v>
      </c>
      <c r="K25" s="476"/>
      <c r="L25" s="477"/>
      <c r="M25" s="478"/>
      <c r="T25" s="95"/>
      <c r="U25" s="95"/>
      <c r="V25" s="95"/>
      <c r="W25" s="95"/>
      <c r="X25" s="95"/>
      <c r="Y25" s="95"/>
    </row>
    <row r="26" spans="1:25" ht="15.75" x14ac:dyDescent="0.3">
      <c r="A26" s="32"/>
      <c r="B26" s="479" t="s">
        <v>504</v>
      </c>
      <c r="C26" s="480">
        <f>'B1. Resultat beräkning'!F5-'B1. Resultat beräkning'!F6</f>
        <v>0</v>
      </c>
      <c r="D26" s="481">
        <f>'C2. Inmatning och verifiering'!AA26</f>
        <v>0</v>
      </c>
      <c r="E26" s="481">
        <f>'C2. Inmatning och verifiering'!AE26</f>
        <v>0</v>
      </c>
      <c r="F26" s="482">
        <f>IF('C3. Normaliseringsunderlag'!E25&gt;0,D26/'C3. Normaliseringsunderlag'!F25,0)</f>
        <v>0</v>
      </c>
      <c r="G26" s="846">
        <f>IFERROR(C26/'A. Byggnadsinfo med BBR'!$D$43,0)</f>
        <v>0</v>
      </c>
      <c r="H26" s="847">
        <f>IFERROR(D26/'A. Byggnadsinfo med BBR'!$E$43,0)</f>
        <v>0</v>
      </c>
      <c r="I26" s="847">
        <f>IFERROR(E26/'A. Byggnadsinfo med BBR'!$E$43,0)</f>
        <v>0</v>
      </c>
      <c r="J26" s="847">
        <f>IFERROR(F26/'A. Byggnadsinfo med BBR'!$E$43,0)</f>
        <v>0</v>
      </c>
      <c r="K26" s="1276"/>
      <c r="L26" s="1276"/>
      <c r="M26" s="1277"/>
      <c r="T26" s="95"/>
      <c r="U26" s="95"/>
      <c r="V26" s="95"/>
      <c r="W26" s="95"/>
      <c r="X26" s="95"/>
      <c r="Y26" s="95"/>
    </row>
    <row r="27" spans="1:25" ht="15.75" x14ac:dyDescent="0.3">
      <c r="A27" s="32"/>
      <c r="B27" s="483" t="s">
        <v>505</v>
      </c>
      <c r="C27" s="484">
        <f>'B1. Resultat beräkning'!F11</f>
        <v>0</v>
      </c>
      <c r="D27" s="485">
        <f>'C2. Inmatning och verifiering'!AI26</f>
        <v>0</v>
      </c>
      <c r="E27" s="484">
        <f>IFERROR('C2. Inmatning och verifiering'!AH5*'C2. Inmatning och verifiering'!W4,0)</f>
        <v>0</v>
      </c>
      <c r="F27" s="489">
        <f>IF('C3. Normaliseringsunderlag'!E26&gt;0,D27/'C3. Normaliseringsunderlag'!F26,0)</f>
        <v>0</v>
      </c>
      <c r="G27" s="848">
        <f>IFERROR(C27/'A. Byggnadsinfo med BBR'!$D$43,0)</f>
        <v>0</v>
      </c>
      <c r="H27" s="849">
        <f>IFERROR(D27/'A. Byggnadsinfo med BBR'!$E$43,0)</f>
        <v>0</v>
      </c>
      <c r="I27" s="847">
        <f>IFERROR(E27/'A. Byggnadsinfo med BBR'!$E$43,0)</f>
        <v>0</v>
      </c>
      <c r="J27" s="847">
        <f>IFERROR(F27/'A. Byggnadsinfo med BBR'!$E$43,0)</f>
        <v>0</v>
      </c>
      <c r="K27" s="1260"/>
      <c r="L27" s="1260"/>
      <c r="M27" s="1261"/>
      <c r="T27" s="95"/>
      <c r="U27" s="95"/>
      <c r="V27" s="95"/>
      <c r="W27" s="95"/>
      <c r="X27" s="95"/>
      <c r="Y27" s="95"/>
    </row>
    <row r="28" spans="1:25" ht="15.75" x14ac:dyDescent="0.3">
      <c r="A28" s="32"/>
      <c r="B28" s="487" t="s">
        <v>116</v>
      </c>
      <c r="C28" s="484">
        <f>'B1. Resultat beräkning'!F6</f>
        <v>0</v>
      </c>
      <c r="D28" s="488">
        <f>'C2. Inmatning och verifiering'!M26+'C2. Inmatning och verifiering'!N26+'C2. Inmatning och verifiering'!O26+'C2. Inmatning och verifiering'!P26</f>
        <v>0</v>
      </c>
      <c r="E28" s="484">
        <f>D28</f>
        <v>0</v>
      </c>
      <c r="F28" s="486">
        <f>IF('C3. Normaliseringsunderlag'!E27&gt;0,D28/'C3. Normaliseringsunderlag'!F27,0)</f>
        <v>0</v>
      </c>
      <c r="G28" s="848">
        <f>IFERROR(C28/'A. Byggnadsinfo med BBR'!$D$43,0)</f>
        <v>0</v>
      </c>
      <c r="H28" s="849">
        <f>IFERROR(D28/'A. Byggnadsinfo med BBR'!$E$43,0)</f>
        <v>0</v>
      </c>
      <c r="I28" s="847">
        <f>IFERROR(E28/'A. Byggnadsinfo med BBR'!$E$43,0)</f>
        <v>0</v>
      </c>
      <c r="J28" s="847">
        <f>IFERROR(F28/'A. Byggnadsinfo med BBR'!$E$43,0)</f>
        <v>0</v>
      </c>
      <c r="K28" s="1295"/>
      <c r="L28" s="1293"/>
      <c r="M28" s="1294"/>
      <c r="T28" s="95"/>
      <c r="U28" s="95"/>
      <c r="V28" s="95"/>
      <c r="W28" s="95"/>
      <c r="X28" s="95"/>
      <c r="Y28" s="95"/>
    </row>
    <row r="29" spans="1:25" s="95" customFormat="1" ht="15.75" x14ac:dyDescent="0.3">
      <c r="A29" s="490"/>
      <c r="B29" s="487" t="s">
        <v>506</v>
      </c>
      <c r="C29" s="484">
        <f>'B1. Resultat beräkning'!F12</f>
        <v>0</v>
      </c>
      <c r="D29" s="484">
        <f>'C2. Inmatning och verifiering'!AR26</f>
        <v>0</v>
      </c>
      <c r="E29" s="484">
        <f>'C2. Inmatning och verifiering'!AU26</f>
        <v>0</v>
      </c>
      <c r="F29" s="491">
        <f>IF('C3. Normaliseringsunderlag'!E28&gt;0,D29/'C3. Normaliseringsunderlag'!F28,0)</f>
        <v>0</v>
      </c>
      <c r="G29" s="848">
        <f>IFERROR(C29/'A. Byggnadsinfo med BBR'!$D$43,0)</f>
        <v>0</v>
      </c>
      <c r="H29" s="849">
        <f>IFERROR(D29/'A. Byggnadsinfo med BBR'!$E$43,0)</f>
        <v>0</v>
      </c>
      <c r="I29" s="847">
        <f>IFERROR(E29/'A. Byggnadsinfo med BBR'!$E$43,0)</f>
        <v>0</v>
      </c>
      <c r="J29" s="847">
        <f>IFERROR(F29/'A. Byggnadsinfo med BBR'!$E$43,0)</f>
        <v>0</v>
      </c>
      <c r="K29" s="1289"/>
      <c r="L29" s="1289"/>
      <c r="M29" s="1290"/>
    </row>
    <row r="30" spans="1:25" s="95" customFormat="1" ht="15.75" x14ac:dyDescent="0.3">
      <c r="A30" s="490"/>
      <c r="B30" s="487" t="s">
        <v>507</v>
      </c>
      <c r="C30" s="484">
        <f>'B1. Resultat beräkning'!F14</f>
        <v>0</v>
      </c>
      <c r="D30" s="484">
        <f>'C2. Inmatning och verifiering'!AQ26</f>
        <v>0</v>
      </c>
      <c r="E30" s="484">
        <f>'C2. Inmatning och verifiering'!AT26</f>
        <v>0</v>
      </c>
      <c r="F30" s="491">
        <f>IF('C3. Normaliseringsunderlag'!E29&gt;0,D30/'C3. Normaliseringsunderlag'!F29,0)</f>
        <v>0</v>
      </c>
      <c r="G30" s="848">
        <f>IFERROR(C30/'A. Byggnadsinfo med BBR'!$D$43,0)</f>
        <v>0</v>
      </c>
      <c r="H30" s="849">
        <f>IFERROR(D30/'A. Byggnadsinfo med BBR'!$E$43,0)</f>
        <v>0</v>
      </c>
      <c r="I30" s="847">
        <f>IFERROR(E30/'A. Byggnadsinfo med BBR'!$E$43,0)</f>
        <v>0</v>
      </c>
      <c r="J30" s="847">
        <f>IFERROR(F30/'A. Byggnadsinfo med BBR'!$E$43,0)</f>
        <v>0</v>
      </c>
      <c r="K30" s="1295"/>
      <c r="L30" s="1293"/>
      <c r="M30" s="1294"/>
    </row>
    <row r="31" spans="1:25" ht="15.75" x14ac:dyDescent="0.3">
      <c r="A31" s="32"/>
      <c r="B31" s="483" t="s">
        <v>508</v>
      </c>
      <c r="C31" s="484">
        <f>'B1. Resultat beräkning'!F16</f>
        <v>0</v>
      </c>
      <c r="D31" s="488">
        <f>'C2. Inmatning och verifiering'!AK26</f>
        <v>0</v>
      </c>
      <c r="E31" s="484">
        <f>D31</f>
        <v>0</v>
      </c>
      <c r="F31" s="491">
        <f>IF('C3. Normaliseringsunderlag'!E30&gt;0,D31/'C3. Normaliseringsunderlag'!F30,0)</f>
        <v>0</v>
      </c>
      <c r="G31" s="848">
        <f>IFERROR(C31/'A. Byggnadsinfo med BBR'!$D$43,0)</f>
        <v>0</v>
      </c>
      <c r="H31" s="849">
        <f>IFERROR(D31/'A. Byggnadsinfo med BBR'!$E$43,0)</f>
        <v>0</v>
      </c>
      <c r="I31" s="847">
        <f>IFERROR(E31/'A. Byggnadsinfo med BBR'!$E$43,0)</f>
        <v>0</v>
      </c>
      <c r="J31" s="847">
        <f>IFERROR(F31/'A. Byggnadsinfo med BBR'!$E$43,0)</f>
        <v>0</v>
      </c>
      <c r="K31" s="1289"/>
      <c r="L31" s="1289"/>
      <c r="M31" s="1290"/>
      <c r="T31" s="95"/>
      <c r="U31" s="95"/>
      <c r="V31" s="95"/>
      <c r="W31" s="95"/>
      <c r="X31" s="95"/>
      <c r="Y31" s="95"/>
    </row>
    <row r="32" spans="1:25" ht="15.75" customHeight="1" x14ac:dyDescent="0.3">
      <c r="A32" s="32"/>
      <c r="B32" s="483"/>
      <c r="C32" s="492"/>
      <c r="D32" s="492"/>
      <c r="E32" s="492"/>
      <c r="F32" s="493"/>
      <c r="G32" s="494"/>
      <c r="H32" s="495"/>
      <c r="I32" s="495"/>
      <c r="J32" s="496"/>
      <c r="K32" s="1259"/>
      <c r="L32" s="1293"/>
      <c r="M32" s="1294"/>
      <c r="T32" s="95"/>
      <c r="U32" s="95"/>
      <c r="V32" s="95"/>
      <c r="W32" s="95"/>
      <c r="X32" s="95"/>
      <c r="Y32" s="95"/>
    </row>
    <row r="33" spans="1:25" ht="15.75" x14ac:dyDescent="0.3">
      <c r="A33" s="32"/>
      <c r="B33" s="483"/>
      <c r="C33" s="497"/>
      <c r="D33" s="497"/>
      <c r="E33" s="498"/>
      <c r="F33" s="499"/>
      <c r="G33" s="500"/>
      <c r="H33" s="501"/>
      <c r="I33" s="502"/>
      <c r="J33" s="502"/>
      <c r="K33" s="1260"/>
      <c r="L33" s="1260"/>
      <c r="M33" s="1261"/>
      <c r="T33" s="95"/>
      <c r="U33" s="95"/>
      <c r="V33" s="95"/>
      <c r="W33" s="95"/>
      <c r="X33" s="95"/>
      <c r="Y33" s="95"/>
    </row>
    <row r="34" spans="1:25" ht="15.75" customHeight="1" x14ac:dyDescent="0.3">
      <c r="A34" s="32"/>
      <c r="B34" s="503"/>
      <c r="C34" s="492"/>
      <c r="D34" s="492"/>
      <c r="E34" s="492"/>
      <c r="F34" s="499"/>
      <c r="G34" s="494"/>
      <c r="H34" s="502"/>
      <c r="I34" s="502"/>
      <c r="J34" s="504"/>
      <c r="K34" s="1286"/>
      <c r="L34" s="1287"/>
      <c r="M34" s="1288"/>
      <c r="T34" s="95"/>
      <c r="U34" s="95"/>
      <c r="V34" s="95"/>
      <c r="W34" s="95"/>
      <c r="X34" s="95"/>
      <c r="Y34" s="95"/>
    </row>
    <row r="35" spans="1:25" ht="15.75" x14ac:dyDescent="0.3">
      <c r="A35" s="32"/>
      <c r="B35" s="483" t="s">
        <v>509</v>
      </c>
      <c r="C35" s="505">
        <f>'B1. Resultat beräkning'!F21+'B1. Resultat beräkning'!F18</f>
        <v>0</v>
      </c>
      <c r="D35" s="506">
        <f>'C2. Inmatning och verifiering'!AN26</f>
        <v>0</v>
      </c>
      <c r="E35" s="507"/>
      <c r="F35" s="508"/>
      <c r="G35" s="848">
        <f>IFERROR(C35/'A. Byggnadsinfo med BBR'!$D$43,0)</f>
        <v>0</v>
      </c>
      <c r="H35" s="848">
        <f>IFERROR(D35/'A. Byggnadsinfo med BBR'!$E$43,0)</f>
        <v>0</v>
      </c>
      <c r="I35" s="502"/>
      <c r="J35" s="509"/>
      <c r="K35" s="1259"/>
      <c r="L35" s="1260"/>
      <c r="M35" s="1261"/>
      <c r="T35" s="95"/>
      <c r="U35" s="95"/>
      <c r="V35" s="95"/>
      <c r="W35" s="412" t="s">
        <v>510</v>
      </c>
      <c r="X35" s="412" t="s">
        <v>511</v>
      </c>
      <c r="Y35" s="412"/>
    </row>
    <row r="36" spans="1:25" ht="15.75" x14ac:dyDescent="0.3">
      <c r="A36" s="32"/>
      <c r="B36" s="487" t="s">
        <v>512</v>
      </c>
      <c r="C36" s="551"/>
      <c r="D36" s="506">
        <f>'C2. Inmatning och verifiering'!$AX$26</f>
        <v>0</v>
      </c>
      <c r="E36" s="492"/>
      <c r="F36" s="493"/>
      <c r="G36" s="848">
        <f>IFERROR(C36/'A. Byggnadsinfo med BBR'!$D$43,0)</f>
        <v>0</v>
      </c>
      <c r="H36" s="848">
        <f>IFERROR(D36/'A. Byggnadsinfo med BBR'!$E$43,0)</f>
        <v>0</v>
      </c>
      <c r="I36" s="510"/>
      <c r="J36" s="511"/>
      <c r="K36" s="1259"/>
      <c r="L36" s="1260"/>
      <c r="M36" s="1261"/>
      <c r="T36" s="95"/>
      <c r="U36" s="95"/>
      <c r="V36" s="95"/>
      <c r="W36" s="412"/>
      <c r="X36" s="412"/>
      <c r="Y36" s="412"/>
    </row>
    <row r="37" spans="1:25" ht="15.75" x14ac:dyDescent="0.3">
      <c r="A37" s="32"/>
      <c r="B37" s="487" t="s">
        <v>513</v>
      </c>
      <c r="C37" s="552"/>
      <c r="D37" s="488">
        <f>'C2. Inmatning och verifiering'!AM26</f>
        <v>0</v>
      </c>
      <c r="E37" s="492"/>
      <c r="F37" s="499"/>
      <c r="G37" s="848">
        <f>IFERROR(C37/'A. Byggnadsinfo med BBR'!$D$43,0)</f>
        <v>0</v>
      </c>
      <c r="H37" s="848">
        <f>IFERROR(D37/'A. Byggnadsinfo med BBR'!$E$43,0)</f>
        <v>0</v>
      </c>
      <c r="I37" s="510"/>
      <c r="J37" s="502"/>
      <c r="K37" s="1272"/>
      <c r="L37" s="1273"/>
      <c r="M37" s="1274"/>
      <c r="T37" s="95"/>
      <c r="U37" s="95"/>
      <c r="V37" s="95"/>
      <c r="W37" s="412" t="s">
        <v>383</v>
      </c>
      <c r="X37" s="412" t="s">
        <v>514</v>
      </c>
      <c r="Y37" s="412"/>
    </row>
    <row r="38" spans="1:25" ht="15.75" x14ac:dyDescent="0.3">
      <c r="A38" s="32"/>
      <c r="B38" s="512" t="s">
        <v>515</v>
      </c>
      <c r="C38" s="553"/>
      <c r="D38" s="513">
        <f>'C2. Inmatning och verifiering'!$AG$26</f>
        <v>0</v>
      </c>
      <c r="E38" s="514"/>
      <c r="F38" s="515"/>
      <c r="G38" s="848">
        <f>IFERROR(C38/'A. Byggnadsinfo med BBR'!$D$43,0)</f>
        <v>0</v>
      </c>
      <c r="H38" s="848">
        <f>IFERROR(D38/'A. Byggnadsinfo med BBR'!$E$43,0)</f>
        <v>0</v>
      </c>
      <c r="I38" s="516"/>
      <c r="J38" s="517"/>
      <c r="K38" s="1263"/>
      <c r="L38" s="1264"/>
      <c r="M38" s="1265"/>
      <c r="O38" s="95" t="s">
        <v>123</v>
      </c>
      <c r="T38" s="95"/>
      <c r="U38" s="95"/>
      <c r="V38" s="95"/>
      <c r="W38" s="412" t="s">
        <v>516</v>
      </c>
      <c r="X38" s="412" t="s">
        <v>517</v>
      </c>
      <c r="Y38" s="412"/>
    </row>
    <row r="39" spans="1:25" ht="15.75" x14ac:dyDescent="0.3">
      <c r="A39" s="32"/>
      <c r="B39" s="518" t="s">
        <v>518</v>
      </c>
      <c r="C39" s="519">
        <f>SUM(C26:C31)</f>
        <v>0</v>
      </c>
      <c r="D39" s="520">
        <f>SUM(D26:D31)</f>
        <v>0</v>
      </c>
      <c r="E39" s="520">
        <f>SUM(E26:E31)</f>
        <v>0</v>
      </c>
      <c r="F39" s="521">
        <f>SUM(F26:F31)</f>
        <v>0</v>
      </c>
      <c r="G39" s="522">
        <f>IFERROR(C39/'A. Byggnadsinfo med BBR'!$D$43,0)</f>
        <v>0</v>
      </c>
      <c r="H39" s="523">
        <f>IFERROR(D39/'A. Byggnadsinfo med BBR'!$E$43,0)</f>
        <v>0</v>
      </c>
      <c r="I39" s="523">
        <f>IFERROR(E39/'A. Byggnadsinfo med BBR'!$E$43,0)</f>
        <v>0</v>
      </c>
      <c r="J39" s="523">
        <f>IFERROR(F39/'A. Byggnadsinfo med BBR'!$E$43,0)</f>
        <v>0</v>
      </c>
      <c r="K39" s="1283"/>
      <c r="L39" s="1284"/>
      <c r="M39" s="1285"/>
      <c r="O39" s="95" t="s">
        <v>519</v>
      </c>
      <c r="T39" s="95"/>
      <c r="U39" s="95"/>
      <c r="V39" s="95"/>
      <c r="W39" s="412" t="s">
        <v>520</v>
      </c>
      <c r="X39" s="412" t="s">
        <v>521</v>
      </c>
      <c r="Y39" s="412"/>
    </row>
    <row r="40" spans="1:25" x14ac:dyDescent="0.25">
      <c r="A40" s="32"/>
      <c r="T40" s="95"/>
      <c r="U40" s="95"/>
      <c r="V40" s="95"/>
      <c r="W40" s="412" t="s">
        <v>522</v>
      </c>
      <c r="X40" s="412" t="s">
        <v>523</v>
      </c>
      <c r="Y40" s="412"/>
    </row>
    <row r="41" spans="1:25" ht="66.75" customHeight="1" x14ac:dyDescent="0.35">
      <c r="A41" s="32"/>
      <c r="B41" s="463" t="s">
        <v>10</v>
      </c>
      <c r="C41" s="466" t="s">
        <v>524</v>
      </c>
      <c r="D41" s="466" t="str">
        <f t="shared" ref="D41:J41" si="0">D24</f>
        <v>Uppmätt/ levererad</v>
      </c>
      <c r="E41" s="466" t="str">
        <f t="shared" si="0"/>
        <v>Normaliserad med schablon</v>
      </c>
      <c r="F41" s="467" t="str">
        <f t="shared" si="0"/>
        <v>Normaliserad med upprepad energiberäk-ning</v>
      </c>
      <c r="G41" s="524" t="str">
        <f t="shared" si="0"/>
        <v>Beräknad enl. relations-handling</v>
      </c>
      <c r="H41" s="466" t="str">
        <f t="shared" si="0"/>
        <v>Uppmätt/ levererad</v>
      </c>
      <c r="I41" s="466" t="str">
        <f t="shared" si="0"/>
        <v>Normaliserad med schablon</v>
      </c>
      <c r="J41" s="466" t="str">
        <f t="shared" si="0"/>
        <v>Normaliserad med upprepad energiberäk-ning</v>
      </c>
      <c r="K41" s="1281" t="s">
        <v>104</v>
      </c>
      <c r="L41" s="1281"/>
      <c r="M41" s="1282"/>
      <c r="T41" s="95"/>
      <c r="U41" s="95"/>
      <c r="V41" s="95"/>
      <c r="W41" s="412"/>
      <c r="X41" s="412" t="s">
        <v>135</v>
      </c>
      <c r="Y41" s="412"/>
    </row>
    <row r="42" spans="1:25" ht="16.5" thickBot="1" x14ac:dyDescent="0.35">
      <c r="A42" s="32"/>
      <c r="B42" s="525"/>
      <c r="C42" s="473" t="s">
        <v>238</v>
      </c>
      <c r="D42" s="473" t="s">
        <v>238</v>
      </c>
      <c r="E42" s="473" t="s">
        <v>238</v>
      </c>
      <c r="F42" s="526" t="s">
        <v>238</v>
      </c>
      <c r="G42" s="527" t="s">
        <v>503</v>
      </c>
      <c r="H42" s="528" t="s">
        <v>503</v>
      </c>
      <c r="I42" s="528" t="s">
        <v>503</v>
      </c>
      <c r="J42" s="473" t="s">
        <v>503</v>
      </c>
      <c r="K42" s="1278"/>
      <c r="L42" s="1279"/>
      <c r="M42" s="1280"/>
      <c r="T42" s="95"/>
      <c r="U42" s="95"/>
      <c r="V42" s="95"/>
      <c r="W42" s="95"/>
      <c r="X42" s="95"/>
      <c r="Y42" s="95"/>
    </row>
    <row r="43" spans="1:25" ht="15.75" x14ac:dyDescent="0.3">
      <c r="A43" s="32"/>
      <c r="B43" s="529" t="str">
        <f>B26</f>
        <v>Värme exkl. tappvarmvatten och VVC</v>
      </c>
      <c r="C43" s="530">
        <f>C26</f>
        <v>0</v>
      </c>
      <c r="D43" s="481">
        <f>'C2. Inmatning och verifiering'!AA40</f>
        <v>0</v>
      </c>
      <c r="E43" s="481">
        <f>'C2. Inmatning och verifiering'!AE40</f>
        <v>0</v>
      </c>
      <c r="F43" s="531">
        <f>IF('C3. Normaliseringsunderlag'!E53&gt;0,D43/'C3. Normaliseringsunderlag'!F53,0)</f>
        <v>0</v>
      </c>
      <c r="G43" s="532">
        <f>IFERROR(C43/'A. Byggnadsinfo med BBR'!$E$43,0)</f>
        <v>0</v>
      </c>
      <c r="H43" s="532">
        <f>IFERROR(D43/'A. Byggnadsinfo med BBR'!$E$43,0)</f>
        <v>0</v>
      </c>
      <c r="I43" s="532">
        <f>IFERROR(E43/'A. Byggnadsinfo med BBR'!$E$43,0)</f>
        <v>0</v>
      </c>
      <c r="J43" s="532">
        <f>IFERROR(F43/'A. Byggnadsinfo med BBR'!$E$43,0)</f>
        <v>0</v>
      </c>
      <c r="K43" s="1275"/>
      <c r="L43" s="1276"/>
      <c r="M43" s="1277"/>
      <c r="T43" s="95"/>
      <c r="U43" s="95"/>
      <c r="V43" s="95"/>
      <c r="W43" s="95"/>
      <c r="X43" s="95"/>
      <c r="Y43" s="95"/>
    </row>
    <row r="44" spans="1:25" ht="15.75" x14ac:dyDescent="0.3">
      <c r="B44" s="533" t="str">
        <f t="shared" ref="B44:C55" si="1">B27</f>
        <v>Tappvarmvatten</v>
      </c>
      <c r="C44" s="530">
        <f t="shared" si="1"/>
        <v>0</v>
      </c>
      <c r="D44" s="488">
        <f>'C2. Inmatning och verifiering'!AI40</f>
        <v>0</v>
      </c>
      <c r="E44" s="488">
        <f>IFERROR('C2. Inmatning och verifiering'!AH6*'C2. Inmatning och verifiering'!W4,0)</f>
        <v>0</v>
      </c>
      <c r="F44" s="534">
        <f>IF('C3. Normaliseringsunderlag'!E54&gt;0,D44/'C3. Normaliseringsunderlag'!F54,0)</f>
        <v>0</v>
      </c>
      <c r="G44" s="532">
        <f>IFERROR(C44/'A. Byggnadsinfo med BBR'!$E$43,0)</f>
        <v>0</v>
      </c>
      <c r="H44" s="532">
        <f>IFERROR(D44/'A. Byggnadsinfo med BBR'!$E$43,0)</f>
        <v>0</v>
      </c>
      <c r="I44" s="532">
        <f>IFERROR(E44/'A. Byggnadsinfo med BBR'!$E$43,0)</f>
        <v>0</v>
      </c>
      <c r="J44" s="532">
        <f>IFERROR(F44/'A. Byggnadsinfo med BBR'!$E$43,0)</f>
        <v>0</v>
      </c>
      <c r="K44" s="1272"/>
      <c r="L44" s="1273"/>
      <c r="M44" s="1274"/>
      <c r="T44" s="95"/>
      <c r="U44" s="95"/>
      <c r="V44" s="95"/>
      <c r="W44" s="95"/>
      <c r="X44" s="95"/>
      <c r="Y44" s="95"/>
    </row>
    <row r="45" spans="1:25" ht="15.75" x14ac:dyDescent="0.3">
      <c r="B45" s="533" t="str">
        <f t="shared" si="1"/>
        <v>VVC-förluster</v>
      </c>
      <c r="C45" s="530">
        <f t="shared" si="1"/>
        <v>0</v>
      </c>
      <c r="D45" s="488">
        <f>'C2. Inmatning och verifiering'!M40+'C2. Inmatning och verifiering'!N40+'C2. Inmatning och verifiering'!O40+'C2. Inmatning och verifiering'!P40</f>
        <v>0</v>
      </c>
      <c r="E45" s="488">
        <f>D45</f>
        <v>0</v>
      </c>
      <c r="F45" s="534">
        <f>IF('C3. Normaliseringsunderlag'!E55&gt;0,D45/'C3. Normaliseringsunderlag'!F55,0)</f>
        <v>0</v>
      </c>
      <c r="G45" s="532">
        <f>IFERROR(C45/'A. Byggnadsinfo med BBR'!$E$43,0)</f>
        <v>0</v>
      </c>
      <c r="H45" s="532">
        <f>IFERROR(D45/'A. Byggnadsinfo med BBR'!$E$43,0)</f>
        <v>0</v>
      </c>
      <c r="I45" s="532">
        <f>IFERROR(E45/'A. Byggnadsinfo med BBR'!$E$43,0)</f>
        <v>0</v>
      </c>
      <c r="J45" s="532">
        <f>IFERROR(F45/'A. Byggnadsinfo med BBR'!$E$43,0)</f>
        <v>0</v>
      </c>
      <c r="K45" s="1272"/>
      <c r="L45" s="1273"/>
      <c r="M45" s="1274"/>
      <c r="T45" s="95"/>
      <c r="U45" s="95"/>
      <c r="V45" s="95"/>
      <c r="W45" s="95"/>
      <c r="X45" s="95"/>
      <c r="Y45" s="95"/>
    </row>
    <row r="46" spans="1:25" ht="15.75" x14ac:dyDescent="0.3">
      <c r="B46" s="533" t="str">
        <f t="shared" si="1"/>
        <v>Elkomfortkyla</v>
      </c>
      <c r="C46" s="530">
        <f t="shared" si="1"/>
        <v>0</v>
      </c>
      <c r="D46" s="488">
        <f>'C2. Inmatning och verifiering'!AR40</f>
        <v>0</v>
      </c>
      <c r="E46" s="488">
        <f>'C2. Inmatning och verifiering'!AU40</f>
        <v>0</v>
      </c>
      <c r="F46" s="534">
        <f>IF('C3. Normaliseringsunderlag'!E56&gt;0,D46/'C3. Normaliseringsunderlag'!F56,0)</f>
        <v>0</v>
      </c>
      <c r="G46" s="532">
        <f>IFERROR(C46/'A. Byggnadsinfo med BBR'!$E$43,0)</f>
        <v>0</v>
      </c>
      <c r="H46" s="532">
        <f>IFERROR(D46/'A. Byggnadsinfo med BBR'!$E$43,0)</f>
        <v>0</v>
      </c>
      <c r="I46" s="532">
        <f>IFERROR(E46/'A. Byggnadsinfo med BBR'!$E$43,0)</f>
        <v>0</v>
      </c>
      <c r="J46" s="532">
        <f>IFERROR(F46/'A. Byggnadsinfo med BBR'!$E$43,0)</f>
        <v>0</v>
      </c>
      <c r="K46" s="1272"/>
      <c r="L46" s="1273"/>
      <c r="M46" s="1274"/>
      <c r="T46" s="95"/>
      <c r="U46" s="95"/>
      <c r="V46" s="95"/>
      <c r="W46" s="95"/>
      <c r="X46" s="95"/>
      <c r="Y46" s="95"/>
    </row>
    <row r="47" spans="1:25" ht="15.75" x14ac:dyDescent="0.3">
      <c r="B47" s="533" t="str">
        <f t="shared" si="1"/>
        <v>Fjärrkomfortkyla</v>
      </c>
      <c r="C47" s="530">
        <f t="shared" si="1"/>
        <v>0</v>
      </c>
      <c r="D47" s="488">
        <f>'C2. Inmatning och verifiering'!AQ40</f>
        <v>0</v>
      </c>
      <c r="E47" s="488">
        <f>'C2. Inmatning och verifiering'!AT40</f>
        <v>0</v>
      </c>
      <c r="F47" s="534">
        <f>IF('C3. Normaliseringsunderlag'!E57&gt;0,D47/'C3. Normaliseringsunderlag'!F57,0)</f>
        <v>0</v>
      </c>
      <c r="G47" s="532">
        <f>IFERROR(C47/'A. Byggnadsinfo med BBR'!$E$43,0)</f>
        <v>0</v>
      </c>
      <c r="H47" s="532">
        <f>IFERROR(D47/'A. Byggnadsinfo med BBR'!$E$43,0)</f>
        <v>0</v>
      </c>
      <c r="I47" s="532">
        <f>IFERROR(E47/'A. Byggnadsinfo med BBR'!$E$43,0)</f>
        <v>0</v>
      </c>
      <c r="J47" s="532">
        <f>IFERROR(F47/'A. Byggnadsinfo med BBR'!$E$43,0)</f>
        <v>0</v>
      </c>
      <c r="K47" s="1259"/>
      <c r="L47" s="1260"/>
      <c r="M47" s="1261"/>
      <c r="T47" s="95"/>
      <c r="U47" s="95"/>
      <c r="V47" s="95"/>
      <c r="W47" s="95"/>
      <c r="X47" s="95"/>
      <c r="Y47" s="95"/>
    </row>
    <row r="48" spans="1:25" ht="16.5" customHeight="1" x14ac:dyDescent="0.3">
      <c r="B48" s="533" t="str">
        <f t="shared" si="1"/>
        <v>Driftel exkl. värme och kyla</v>
      </c>
      <c r="C48" s="530">
        <f t="shared" si="1"/>
        <v>0</v>
      </c>
      <c r="D48" s="488">
        <f>'C2. Inmatning och verifiering'!AK40</f>
        <v>0</v>
      </c>
      <c r="E48" s="488">
        <f>D48</f>
        <v>0</v>
      </c>
      <c r="F48" s="534">
        <f>IF('C3. Normaliseringsunderlag'!E58&gt;0,D48/'C3. Normaliseringsunderlag'!F58,0)</f>
        <v>0</v>
      </c>
      <c r="G48" s="532">
        <f>IFERROR(C48/'A. Byggnadsinfo med BBR'!$E$43,0)</f>
        <v>0</v>
      </c>
      <c r="H48" s="532">
        <f>IFERROR(D48/'A. Byggnadsinfo med BBR'!$E$43,0)</f>
        <v>0</v>
      </c>
      <c r="I48" s="532">
        <f>IFERROR(E48/'A. Byggnadsinfo med BBR'!$E$43,0)</f>
        <v>0</v>
      </c>
      <c r="J48" s="532">
        <f>IFERROR(F48/'A. Byggnadsinfo med BBR'!$E$43,0)</f>
        <v>0</v>
      </c>
      <c r="K48" s="1272"/>
      <c r="L48" s="1273"/>
      <c r="M48" s="1274"/>
      <c r="T48" s="95"/>
      <c r="U48" s="95"/>
      <c r="V48" s="95"/>
      <c r="W48" s="95"/>
      <c r="X48" s="95"/>
      <c r="Y48" s="95"/>
    </row>
    <row r="49" spans="2:25" ht="16.5" customHeight="1" x14ac:dyDescent="0.3">
      <c r="B49" s="533">
        <f t="shared" si="1"/>
        <v>0</v>
      </c>
      <c r="C49" s="535"/>
      <c r="D49" s="492"/>
      <c r="E49" s="492"/>
      <c r="F49" s="536"/>
      <c r="G49" s="509"/>
      <c r="H49" s="502"/>
      <c r="I49" s="502"/>
      <c r="J49" s="537"/>
      <c r="K49" s="1269"/>
      <c r="L49" s="1270"/>
      <c r="M49" s="1271"/>
      <c r="T49" s="95"/>
      <c r="U49" s="95"/>
      <c r="V49" s="95"/>
      <c r="W49" s="95"/>
      <c r="X49" s="95"/>
      <c r="Y49" s="95"/>
    </row>
    <row r="50" spans="2:25" ht="15.75" customHeight="1" x14ac:dyDescent="0.3">
      <c r="B50" s="533">
        <f t="shared" si="1"/>
        <v>0</v>
      </c>
      <c r="C50" s="535"/>
      <c r="D50" s="492"/>
      <c r="E50" s="507"/>
      <c r="F50" s="536"/>
      <c r="G50" s="538"/>
      <c r="H50" s="539"/>
      <c r="I50" s="510"/>
      <c r="J50" s="540"/>
      <c r="K50" s="1272"/>
      <c r="L50" s="1273"/>
      <c r="M50" s="1274"/>
      <c r="T50" s="95"/>
      <c r="U50" s="95"/>
      <c r="V50" s="95"/>
      <c r="W50" s="95"/>
      <c r="X50" s="95"/>
      <c r="Y50" s="95"/>
    </row>
    <row r="51" spans="2:25" ht="16.5" customHeight="1" x14ac:dyDescent="0.3">
      <c r="B51" s="533">
        <f t="shared" si="1"/>
        <v>0</v>
      </c>
      <c r="C51" s="535"/>
      <c r="D51" s="492"/>
      <c r="E51" s="492"/>
      <c r="F51" s="536"/>
      <c r="G51" s="509"/>
      <c r="H51" s="502"/>
      <c r="I51" s="502"/>
      <c r="J51" s="537"/>
      <c r="K51" s="1259"/>
      <c r="L51" s="1260"/>
      <c r="M51" s="1261"/>
      <c r="T51" s="95"/>
      <c r="U51" s="95"/>
      <c r="V51" s="95"/>
      <c r="W51" s="95"/>
      <c r="X51" s="95"/>
      <c r="Y51" s="95"/>
    </row>
    <row r="52" spans="2:25" ht="15.75" x14ac:dyDescent="0.3">
      <c r="B52" s="533" t="str">
        <f t="shared" si="1"/>
        <v>Verksamhetsenergi/hushållsenergi</v>
      </c>
      <c r="C52" s="541">
        <f>'B1. Resultat beräkning'!F21+'B1. Resultat beräkning'!F18</f>
        <v>0</v>
      </c>
      <c r="D52" s="488">
        <f>'C2. Inmatning och verifiering'!AN40</f>
        <v>0</v>
      </c>
      <c r="E52" s="507"/>
      <c r="F52" s="536"/>
      <c r="G52" s="542">
        <f>IFERROR(C52/'A. Byggnadsinfo med BBR'!$E$43,0)</f>
        <v>0</v>
      </c>
      <c r="H52" s="542">
        <f>IFERROR(D52/'A. Byggnadsinfo med BBR'!$E$43,0)</f>
        <v>0</v>
      </c>
      <c r="I52" s="510"/>
      <c r="J52" s="502"/>
      <c r="K52" s="1272"/>
      <c r="L52" s="1273"/>
      <c r="M52" s="1274"/>
      <c r="T52" s="95"/>
      <c r="U52" s="95"/>
      <c r="V52" s="95"/>
      <c r="W52" s="95"/>
      <c r="X52" s="95"/>
      <c r="Y52" s="95"/>
    </row>
    <row r="53" spans="2:25" ht="15.75" x14ac:dyDescent="0.3">
      <c r="B53" s="533" t="str">
        <f t="shared" si="1"/>
        <v>Frikyla</v>
      </c>
      <c r="C53" s="554"/>
      <c r="D53" s="488">
        <f>'C2. Inmatning och verifiering'!$AX$40</f>
        <v>0</v>
      </c>
      <c r="E53" s="492"/>
      <c r="F53" s="536"/>
      <c r="G53" s="542">
        <f>IFERROR(C53/'A. Byggnadsinfo med BBR'!$E$43,0)</f>
        <v>0</v>
      </c>
      <c r="H53" s="542">
        <f>IFERROR(D53/'A. Byggnadsinfo med BBR'!$E$43,0)</f>
        <v>0</v>
      </c>
      <c r="I53" s="510"/>
      <c r="J53" s="502"/>
      <c r="K53" s="1272"/>
      <c r="L53" s="1273"/>
      <c r="M53" s="1274"/>
      <c r="T53" s="95"/>
      <c r="U53" s="95"/>
      <c r="V53" s="95"/>
      <c r="W53" s="95"/>
      <c r="X53" s="95"/>
      <c r="Y53" s="95"/>
    </row>
    <row r="54" spans="2:25" ht="15.75" x14ac:dyDescent="0.3">
      <c r="B54" s="533" t="str">
        <f t="shared" si="1"/>
        <v>Egenproducerad el</v>
      </c>
      <c r="C54" s="554"/>
      <c r="D54" s="488">
        <f>'C2. Inmatning och verifiering'!AM40</f>
        <v>0</v>
      </c>
      <c r="E54" s="492"/>
      <c r="F54" s="536"/>
      <c r="G54" s="542">
        <f>IFERROR(C54/'A. Byggnadsinfo med BBR'!$E$43,0)</f>
        <v>0</v>
      </c>
      <c r="H54" s="542">
        <f>IFERROR(D54/'A. Byggnadsinfo med BBR'!$E$43,0)</f>
        <v>0</v>
      </c>
      <c r="I54" s="510"/>
      <c r="J54" s="502"/>
      <c r="K54" s="1272"/>
      <c r="L54" s="1273"/>
      <c r="M54" s="1274"/>
      <c r="T54" s="95"/>
      <c r="U54" s="95"/>
      <c r="V54" s="95"/>
      <c r="W54" s="95"/>
      <c r="X54" s="95"/>
      <c r="Y54" s="95"/>
    </row>
    <row r="55" spans="2:25" ht="16.5" thickBot="1" x14ac:dyDescent="0.35">
      <c r="B55" s="543" t="str">
        <f t="shared" si="1"/>
        <v>Solvärme</v>
      </c>
      <c r="C55" s="555"/>
      <c r="D55" s="513">
        <f>'C2. Inmatning och verifiering'!$AG$40</f>
        <v>0</v>
      </c>
      <c r="E55" s="514"/>
      <c r="F55" s="544"/>
      <c r="G55" s="545">
        <f>IFERROR(C55/'A. Byggnadsinfo med BBR'!$E$43,0)</f>
        <v>0</v>
      </c>
      <c r="H55" s="1090">
        <f>IFERROR(D55/'A. Byggnadsinfo med BBR'!$E$43,0)</f>
        <v>0</v>
      </c>
      <c r="I55" s="516"/>
      <c r="J55" s="517"/>
      <c r="K55" s="1263"/>
      <c r="L55" s="1264"/>
      <c r="M55" s="1265"/>
      <c r="T55" s="95"/>
      <c r="U55" s="95"/>
      <c r="V55" s="95"/>
      <c r="W55" s="95"/>
      <c r="X55" s="95"/>
      <c r="Y55" s="95"/>
    </row>
    <row r="56" spans="2:25" ht="16.5" thickBot="1" x14ac:dyDescent="0.35">
      <c r="B56" s="546" t="str">
        <f>B39</f>
        <v>Specifik energianvändning</v>
      </c>
      <c r="C56" s="547">
        <f>SUM(C43:C48)</f>
        <v>0</v>
      </c>
      <c r="D56" s="547">
        <f>SUM(D43:D48)</f>
        <v>0</v>
      </c>
      <c r="E56" s="547">
        <f>IFERROR(SUM(E43:E48),0)</f>
        <v>0</v>
      </c>
      <c r="F56" s="547">
        <f>SUM(F43:F48)</f>
        <v>0</v>
      </c>
      <c r="G56" s="548">
        <f>IFERROR(C56/'A. Byggnadsinfo med BBR'!$E$43,0)</f>
        <v>0</v>
      </c>
      <c r="H56" s="548">
        <f>IFERROR(D56/'A. Byggnadsinfo med BBR'!$E$43,0)</f>
        <v>0</v>
      </c>
      <c r="I56" s="548">
        <f>IFERROR(E56/'A. Byggnadsinfo med BBR'!$E$43,0)</f>
        <v>0</v>
      </c>
      <c r="J56" s="548">
        <f>IFERROR(F56/'A. Byggnadsinfo med BBR'!$E$43,0)</f>
        <v>0</v>
      </c>
      <c r="K56" s="1266"/>
      <c r="L56" s="1266"/>
      <c r="M56" s="1267"/>
      <c r="T56" s="95"/>
      <c r="U56" s="95"/>
      <c r="V56" s="95"/>
      <c r="W56" s="95"/>
      <c r="X56" s="95"/>
      <c r="Y56" s="95"/>
    </row>
    <row r="57" spans="2:25" ht="16.5" thickBot="1" x14ac:dyDescent="0.35">
      <c r="B57" s="549"/>
      <c r="C57" s="114"/>
      <c r="D57" s="114"/>
      <c r="E57" s="114"/>
      <c r="F57" s="114"/>
      <c r="G57" s="114"/>
      <c r="H57" s="114"/>
      <c r="I57" s="114"/>
      <c r="J57" s="114"/>
      <c r="K57" s="114"/>
      <c r="L57" s="114"/>
      <c r="M57" s="114"/>
    </row>
    <row r="58" spans="2:25" ht="66.75" customHeight="1" x14ac:dyDescent="0.35">
      <c r="B58" s="463" t="s">
        <v>525</v>
      </c>
      <c r="C58" s="466" t="str">
        <f>C41</f>
        <v>Beräknad efter renovering</v>
      </c>
      <c r="D58" s="466" t="str">
        <f t="shared" ref="D58:J58" si="2">D24</f>
        <v>Uppmätt/ levererad</v>
      </c>
      <c r="E58" s="466" t="str">
        <f t="shared" si="2"/>
        <v>Normaliserad med schablon</v>
      </c>
      <c r="F58" s="467" t="str">
        <f t="shared" si="2"/>
        <v>Normaliserad med upprepad energiberäk-ning</v>
      </c>
      <c r="G58" s="524" t="str">
        <f t="shared" si="2"/>
        <v>Beräknad enl. relations-handling</v>
      </c>
      <c r="H58" s="466" t="str">
        <f t="shared" si="2"/>
        <v>Uppmätt/ levererad</v>
      </c>
      <c r="I58" s="466" t="str">
        <f t="shared" si="2"/>
        <v>Normaliserad med schablon</v>
      </c>
      <c r="J58" s="466" t="str">
        <f t="shared" si="2"/>
        <v>Normaliserad med upprepad energiberäk-ning</v>
      </c>
      <c r="K58" s="1281" t="s">
        <v>104</v>
      </c>
      <c r="L58" s="1281"/>
      <c r="M58" s="1282"/>
    </row>
    <row r="59" spans="2:25" ht="16.5" thickBot="1" x14ac:dyDescent="0.35">
      <c r="B59" s="525"/>
      <c r="C59" s="473" t="s">
        <v>238</v>
      </c>
      <c r="D59" s="473" t="s">
        <v>238</v>
      </c>
      <c r="E59" s="473" t="s">
        <v>238</v>
      </c>
      <c r="F59" s="526" t="s">
        <v>238</v>
      </c>
      <c r="G59" s="527" t="s">
        <v>503</v>
      </c>
      <c r="H59" s="528" t="s">
        <v>503</v>
      </c>
      <c r="I59" s="528" t="s">
        <v>503</v>
      </c>
      <c r="J59" s="473" t="s">
        <v>503</v>
      </c>
      <c r="K59" s="1278"/>
      <c r="L59" s="1279"/>
      <c r="M59" s="1280"/>
    </row>
    <row r="60" spans="2:25" ht="15.75" x14ac:dyDescent="0.3">
      <c r="B60" s="529" t="str">
        <f>B26</f>
        <v>Värme exkl. tappvarmvatten och VVC</v>
      </c>
      <c r="C60" s="530">
        <f>C26</f>
        <v>0</v>
      </c>
      <c r="D60" s="481">
        <f>'C2. Inmatning och verifiering'!AA54</f>
        <v>0</v>
      </c>
      <c r="E60" s="481">
        <f>'C2. Inmatning och verifiering'!AE54</f>
        <v>0</v>
      </c>
      <c r="F60" s="531">
        <f>IF('C3. Normaliseringsunderlag'!E81&gt;0,D60/'C3. Normaliseringsunderlag'!F81,0)</f>
        <v>0</v>
      </c>
      <c r="G60" s="532">
        <f>IFERROR(C60/'A. Byggnadsinfo med BBR'!$E$43,0)</f>
        <v>0</v>
      </c>
      <c r="H60" s="532">
        <f>IFERROR(D60/'A. Byggnadsinfo med BBR'!$E$43,0)</f>
        <v>0</v>
      </c>
      <c r="I60" s="532">
        <f>IFERROR(E60/'A. Byggnadsinfo med BBR'!$E$43,0)</f>
        <v>0</v>
      </c>
      <c r="J60" s="532">
        <f>IFERROR(F60/'A. Byggnadsinfo med BBR'!$E$43,0)</f>
        <v>0</v>
      </c>
      <c r="K60" s="1275"/>
      <c r="L60" s="1276"/>
      <c r="M60" s="1277"/>
    </row>
    <row r="61" spans="2:25" ht="15.75" x14ac:dyDescent="0.3">
      <c r="B61" s="533" t="str">
        <f t="shared" ref="B61:C73" si="3">B27</f>
        <v>Tappvarmvatten</v>
      </c>
      <c r="C61" s="530">
        <f t="shared" si="3"/>
        <v>0</v>
      </c>
      <c r="D61" s="488">
        <f>'C2. Inmatning och verifiering'!AI54</f>
        <v>0</v>
      </c>
      <c r="E61" s="488">
        <f>IFERROR('C2. Inmatning och verifiering'!AH7*'C2. Inmatning och verifiering'!W4,0)</f>
        <v>0</v>
      </c>
      <c r="F61" s="534">
        <f>IF('C3. Normaliseringsunderlag'!E82&gt;0,D61/'C3. Normaliseringsunderlag'!F82,0)</f>
        <v>0</v>
      </c>
      <c r="G61" s="532">
        <f>IFERROR(C61/'A. Byggnadsinfo med BBR'!$E$43,0)</f>
        <v>0</v>
      </c>
      <c r="H61" s="532">
        <f>IFERROR(D61/'A. Byggnadsinfo med BBR'!$E$43,0)</f>
        <v>0</v>
      </c>
      <c r="I61" s="532">
        <f>IFERROR(E61/'A. Byggnadsinfo med BBR'!$E$43,0)</f>
        <v>0</v>
      </c>
      <c r="J61" s="532">
        <f>IFERROR(F61/'A. Byggnadsinfo med BBR'!$E$43,0)</f>
        <v>0</v>
      </c>
      <c r="K61" s="1259"/>
      <c r="L61" s="1260"/>
      <c r="M61" s="1261"/>
    </row>
    <row r="62" spans="2:25" ht="15.75" x14ac:dyDescent="0.3">
      <c r="B62" s="533" t="str">
        <f t="shared" si="3"/>
        <v>VVC-förluster</v>
      </c>
      <c r="C62" s="530">
        <f t="shared" si="3"/>
        <v>0</v>
      </c>
      <c r="D62" s="488">
        <f>'C2. Inmatning och verifiering'!M54+'C2. Inmatning och verifiering'!N54+'C2. Inmatning och verifiering'!O54+'C2. Inmatning och verifiering'!P54</f>
        <v>0</v>
      </c>
      <c r="E62" s="488">
        <f>D62</f>
        <v>0</v>
      </c>
      <c r="F62" s="534">
        <f>IF('C3. Normaliseringsunderlag'!E83&gt;0,D62/'C3. Normaliseringsunderlag'!F83,0)</f>
        <v>0</v>
      </c>
      <c r="G62" s="532">
        <f>IFERROR(C62/'A. Byggnadsinfo med BBR'!$E$43,0)</f>
        <v>0</v>
      </c>
      <c r="H62" s="532">
        <f>IFERROR(D62/'A. Byggnadsinfo med BBR'!$E$43,0)</f>
        <v>0</v>
      </c>
      <c r="I62" s="532">
        <f>IFERROR(E62/'A. Byggnadsinfo med BBR'!$E$43,0)</f>
        <v>0</v>
      </c>
      <c r="J62" s="532">
        <f>IFERROR(F62/'A. Byggnadsinfo med BBR'!$E$43,0)</f>
        <v>0</v>
      </c>
      <c r="K62" s="1259"/>
      <c r="L62" s="1260"/>
      <c r="M62" s="1261"/>
    </row>
    <row r="63" spans="2:25" ht="15.75" x14ac:dyDescent="0.3">
      <c r="B63" s="533" t="str">
        <f t="shared" si="3"/>
        <v>Elkomfortkyla</v>
      </c>
      <c r="C63" s="530">
        <f t="shared" si="3"/>
        <v>0</v>
      </c>
      <c r="D63" s="488">
        <f>'C2. Inmatning och verifiering'!AR54</f>
        <v>0</v>
      </c>
      <c r="E63" s="488">
        <f>'C2. Inmatning och verifiering'!AU54</f>
        <v>0</v>
      </c>
      <c r="F63" s="534">
        <f>IF('C3. Normaliseringsunderlag'!E84&gt;0,D63/'C3. Normaliseringsunderlag'!F842,0)</f>
        <v>0</v>
      </c>
      <c r="G63" s="532">
        <f>IFERROR(C63/'A. Byggnadsinfo med BBR'!$E$43,0)</f>
        <v>0</v>
      </c>
      <c r="H63" s="532">
        <f>IFERROR(D63/'A. Byggnadsinfo med BBR'!$E$43,0)</f>
        <v>0</v>
      </c>
      <c r="I63" s="532">
        <f>IFERROR(E63/'A. Byggnadsinfo med BBR'!$E$43,0)</f>
        <v>0</v>
      </c>
      <c r="J63" s="532">
        <f>IFERROR(F63/'A. Byggnadsinfo med BBR'!$E$43,0)</f>
        <v>0</v>
      </c>
      <c r="K63" s="1259"/>
      <c r="L63" s="1260"/>
      <c r="M63" s="1261"/>
    </row>
    <row r="64" spans="2:25" ht="15.75" x14ac:dyDescent="0.3">
      <c r="B64" s="533" t="str">
        <f t="shared" si="3"/>
        <v>Fjärrkomfortkyla</v>
      </c>
      <c r="C64" s="530">
        <f t="shared" si="3"/>
        <v>0</v>
      </c>
      <c r="D64" s="488">
        <f>'C2. Inmatning och verifiering'!AQ54</f>
        <v>0</v>
      </c>
      <c r="E64" s="488">
        <f>'C2. Inmatning och verifiering'!AT54</f>
        <v>0</v>
      </c>
      <c r="F64" s="534">
        <f>IF('C3. Normaliseringsunderlag'!E85&gt;0,D64/'C3. Normaliseringsunderlag'!F85,0)</f>
        <v>0</v>
      </c>
      <c r="G64" s="532">
        <f>IFERROR(C64/'A. Byggnadsinfo med BBR'!$E$43,0)</f>
        <v>0</v>
      </c>
      <c r="H64" s="532">
        <f>IFERROR(D64/'A. Byggnadsinfo med BBR'!$E$43,0)</f>
        <v>0</v>
      </c>
      <c r="I64" s="532">
        <f>IFERROR(E64/'A. Byggnadsinfo med BBR'!$E$43,0)</f>
        <v>0</v>
      </c>
      <c r="J64" s="532">
        <f>IFERROR(F64/'A. Byggnadsinfo med BBR'!$E$43,0)</f>
        <v>0</v>
      </c>
      <c r="K64" s="1259"/>
      <c r="L64" s="1260"/>
      <c r="M64" s="1261"/>
    </row>
    <row r="65" spans="2:16" ht="15.75" x14ac:dyDescent="0.3">
      <c r="B65" s="533" t="str">
        <f t="shared" si="3"/>
        <v>Driftel exkl. värme och kyla</v>
      </c>
      <c r="C65" s="530">
        <f t="shared" si="3"/>
        <v>0</v>
      </c>
      <c r="D65" s="488">
        <f>'C2. Inmatning och verifiering'!AK54</f>
        <v>0</v>
      </c>
      <c r="E65" s="488">
        <f>D65</f>
        <v>0</v>
      </c>
      <c r="F65" s="534">
        <f>IF('C3. Normaliseringsunderlag'!E86&gt;0,D65/'C3. Normaliseringsunderlag'!F86,0)</f>
        <v>0</v>
      </c>
      <c r="G65" s="532">
        <f>IFERROR(C65/'A. Byggnadsinfo med BBR'!$E$43,0)</f>
        <v>0</v>
      </c>
      <c r="H65" s="532">
        <f>IFERROR(D65/'A. Byggnadsinfo med BBR'!$E$43,0)</f>
        <v>0</v>
      </c>
      <c r="I65" s="532">
        <f>IFERROR(E65/'A. Byggnadsinfo med BBR'!$E$43,0)</f>
        <v>0</v>
      </c>
      <c r="J65" s="532">
        <f>IFERROR(F65/'A. Byggnadsinfo med BBR'!$E$43,0)</f>
        <v>0</v>
      </c>
      <c r="K65" s="1259"/>
      <c r="L65" s="1260"/>
      <c r="M65" s="1261"/>
    </row>
    <row r="66" spans="2:16" ht="15.75" customHeight="1" x14ac:dyDescent="0.3">
      <c r="B66" s="533">
        <f t="shared" si="3"/>
        <v>0</v>
      </c>
      <c r="C66" s="535"/>
      <c r="D66" s="492"/>
      <c r="E66" s="492"/>
      <c r="F66" s="536"/>
      <c r="G66" s="509"/>
      <c r="H66" s="502"/>
      <c r="I66" s="502"/>
      <c r="J66" s="537"/>
      <c r="K66" s="1269"/>
      <c r="L66" s="1270"/>
      <c r="M66" s="1271"/>
    </row>
    <row r="67" spans="2:16" ht="15.75" x14ac:dyDescent="0.3">
      <c r="B67" s="533">
        <f t="shared" si="3"/>
        <v>0</v>
      </c>
      <c r="C67" s="535"/>
      <c r="D67" s="492"/>
      <c r="E67" s="507"/>
      <c r="F67" s="536"/>
      <c r="G67" s="538"/>
      <c r="H67" s="539"/>
      <c r="I67" s="510"/>
      <c r="J67" s="511"/>
      <c r="K67" s="1259"/>
      <c r="L67" s="1260"/>
      <c r="M67" s="1261"/>
    </row>
    <row r="68" spans="2:16" ht="15.75" customHeight="1" x14ac:dyDescent="0.3">
      <c r="B68" s="533">
        <f t="shared" si="3"/>
        <v>0</v>
      </c>
      <c r="C68" s="535"/>
      <c r="D68" s="492"/>
      <c r="E68" s="492"/>
      <c r="F68" s="536"/>
      <c r="G68" s="509"/>
      <c r="H68" s="502"/>
      <c r="I68" s="502"/>
      <c r="J68" s="537"/>
      <c r="K68" s="1259"/>
      <c r="L68" s="1260"/>
      <c r="M68" s="1261"/>
    </row>
    <row r="69" spans="2:16" ht="15.75" x14ac:dyDescent="0.3">
      <c r="B69" s="533" t="str">
        <f t="shared" si="3"/>
        <v>Verksamhetsenergi/hushållsenergi</v>
      </c>
      <c r="C69" s="541">
        <f>'B1. Resultat beräkning'!F21+'B1. Resultat beräkning'!F18</f>
        <v>0</v>
      </c>
      <c r="D69" s="488">
        <f>'C2. Inmatning och verifiering'!AN54</f>
        <v>0</v>
      </c>
      <c r="E69" s="507"/>
      <c r="F69" s="536"/>
      <c r="G69" s="542">
        <f>IFERROR(C69/'A. Byggnadsinfo med BBR'!$E$43,0)</f>
        <v>0</v>
      </c>
      <c r="H69" s="542">
        <f>IFERROR(D69/'A. Byggnadsinfo med BBR'!$E$43,0)</f>
        <v>0</v>
      </c>
      <c r="I69" s="502"/>
      <c r="J69" s="502"/>
      <c r="K69" s="1259"/>
      <c r="L69" s="1260"/>
      <c r="M69" s="1261"/>
    </row>
    <row r="70" spans="2:16" ht="15.75" x14ac:dyDescent="0.3">
      <c r="B70" s="533" t="str">
        <f t="shared" si="3"/>
        <v>Frikyla</v>
      </c>
      <c r="C70" s="554"/>
      <c r="D70" s="488">
        <f>'C2. Inmatning och verifiering'!$AX$54</f>
        <v>0</v>
      </c>
      <c r="E70" s="492"/>
      <c r="F70" s="536"/>
      <c r="G70" s="542">
        <f>IFERROR(C70/'A. Byggnadsinfo med BBR'!$E$43,0)</f>
        <v>0</v>
      </c>
      <c r="H70" s="542">
        <f>IFERROR(D70/'A. Byggnadsinfo med BBR'!$E$43,0)</f>
        <v>0</v>
      </c>
      <c r="I70" s="502"/>
      <c r="J70" s="502"/>
      <c r="K70" s="1259"/>
      <c r="L70" s="1260"/>
      <c r="M70" s="1261"/>
    </row>
    <row r="71" spans="2:16" ht="15.75" x14ac:dyDescent="0.3">
      <c r="B71" s="533" t="str">
        <f t="shared" si="3"/>
        <v>Egenproducerad el</v>
      </c>
      <c r="C71" s="554"/>
      <c r="D71" s="488">
        <f>'C2. Inmatning och verifiering'!AM54</f>
        <v>0</v>
      </c>
      <c r="E71" s="492"/>
      <c r="F71" s="536"/>
      <c r="G71" s="542">
        <f>IFERROR(C71/'A. Byggnadsinfo med BBR'!$E$43,0)</f>
        <v>0</v>
      </c>
      <c r="H71" s="542">
        <f>IFERROR(D71/'A. Byggnadsinfo med BBR'!$E$43,0)</f>
        <v>0</v>
      </c>
      <c r="I71" s="502"/>
      <c r="J71" s="502"/>
      <c r="K71" s="1259"/>
      <c r="L71" s="1260"/>
      <c r="M71" s="1261"/>
    </row>
    <row r="72" spans="2:16" ht="16.5" thickBot="1" x14ac:dyDescent="0.35">
      <c r="B72" s="543" t="str">
        <f t="shared" si="3"/>
        <v>Solvärme</v>
      </c>
      <c r="C72" s="555"/>
      <c r="D72" s="513">
        <f>'C2. Inmatning och verifiering'!$AG$54</f>
        <v>0</v>
      </c>
      <c r="E72" s="514"/>
      <c r="F72" s="544"/>
      <c r="G72" s="545">
        <f>IFERROR(C72/'A. Byggnadsinfo med BBR'!$E$43,0)</f>
        <v>0</v>
      </c>
      <c r="H72" s="1090">
        <f>IFERROR(D72/'A. Byggnadsinfo med BBR'!$E$43,0)</f>
        <v>0</v>
      </c>
      <c r="I72" s="516"/>
      <c r="J72" s="516"/>
      <c r="K72" s="1263"/>
      <c r="L72" s="1264"/>
      <c r="M72" s="1265"/>
    </row>
    <row r="73" spans="2:16" ht="16.5" thickBot="1" x14ac:dyDescent="0.35">
      <c r="B73" s="550" t="str">
        <f t="shared" si="3"/>
        <v>Specifik energianvändning</v>
      </c>
      <c r="C73" s="547">
        <f>SUM(C60:C65)</f>
        <v>0</v>
      </c>
      <c r="D73" s="547">
        <f>SUM(D60:D65)</f>
        <v>0</v>
      </c>
      <c r="E73" s="547">
        <f>SUM(E60:E65)</f>
        <v>0</v>
      </c>
      <c r="F73" s="547">
        <f>SUM(F60:F65)</f>
        <v>0</v>
      </c>
      <c r="G73" s="548">
        <f>IFERROR(C73/'A. Byggnadsinfo med BBR'!$E$43,0)</f>
        <v>0</v>
      </c>
      <c r="H73" s="548">
        <f>IFERROR(D73/'A. Byggnadsinfo med BBR'!$E$43,0)</f>
        <v>0</v>
      </c>
      <c r="I73" s="548">
        <f>IFERROR(E73/'A. Byggnadsinfo med BBR'!$E$43,0)</f>
        <v>0</v>
      </c>
      <c r="J73" s="548">
        <f>IFERROR(F73/'A. Byggnadsinfo med BBR'!$E$43,0)</f>
        <v>0</v>
      </c>
      <c r="K73" s="1266"/>
      <c r="L73" s="1266"/>
      <c r="M73" s="1267"/>
    </row>
    <row r="74" spans="2:16" ht="15.75" x14ac:dyDescent="0.3">
      <c r="C74" s="115"/>
      <c r="D74" s="115"/>
      <c r="E74" s="115"/>
      <c r="F74" s="115"/>
      <c r="G74" s="115"/>
      <c r="H74" s="115"/>
      <c r="I74" s="115"/>
      <c r="J74" s="115"/>
      <c r="K74" s="115"/>
      <c r="L74" s="115"/>
      <c r="M74" s="115"/>
      <c r="N74" s="1268"/>
      <c r="O74" s="1268"/>
      <c r="P74" s="1268"/>
    </row>
    <row r="75" spans="2:16" ht="15.75" x14ac:dyDescent="0.3">
      <c r="C75" s="114"/>
      <c r="D75" s="114"/>
      <c r="E75" s="114"/>
      <c r="F75" s="114"/>
      <c r="G75" s="114"/>
      <c r="H75" s="114"/>
      <c r="I75" s="114"/>
      <c r="J75" s="114"/>
      <c r="K75" s="114"/>
      <c r="L75" s="114"/>
      <c r="M75" s="114"/>
      <c r="N75" s="1262"/>
      <c r="O75" s="1262"/>
      <c r="P75" s="1262"/>
    </row>
  </sheetData>
  <sheetProtection algorithmName="SHA-512" hashValue="tVYM/i26SabfFO7GN7vg/fQpXO08m6TntqXxPNEp5tYW9w0ITQ2xPkWC9fkGKIC4pZuIfUYfGrl2TF+PDTyPqA==" saltValue="MaGrxWA57ILv8+UgMCT1hg==" spinCount="100000" sheet="1" objects="1" scenarios="1"/>
  <mergeCells count="51">
    <mergeCell ref="M8:N8"/>
    <mergeCell ref="K32:M32"/>
    <mergeCell ref="K28:M28"/>
    <mergeCell ref="K30:M30"/>
    <mergeCell ref="K24:M24"/>
    <mergeCell ref="K26:M26"/>
    <mergeCell ref="K27:M27"/>
    <mergeCell ref="K31:M31"/>
    <mergeCell ref="K20:L20"/>
    <mergeCell ref="K33:M33"/>
    <mergeCell ref="K34:M34"/>
    <mergeCell ref="K29:M29"/>
    <mergeCell ref="K41:M41"/>
    <mergeCell ref="K36:M36"/>
    <mergeCell ref="K42:M42"/>
    <mergeCell ref="K35:M35"/>
    <mergeCell ref="K39:M39"/>
    <mergeCell ref="K37:M37"/>
    <mergeCell ref="K38:M38"/>
    <mergeCell ref="K55:M55"/>
    <mergeCell ref="K56:M56"/>
    <mergeCell ref="K59:M59"/>
    <mergeCell ref="K61:M61"/>
    <mergeCell ref="K62:M62"/>
    <mergeCell ref="K58:M58"/>
    <mergeCell ref="K60:M60"/>
    <mergeCell ref="K54:M54"/>
    <mergeCell ref="K43:M43"/>
    <mergeCell ref="K44:M44"/>
    <mergeCell ref="K53:M53"/>
    <mergeCell ref="K47:M47"/>
    <mergeCell ref="K49:M49"/>
    <mergeCell ref="K48:M48"/>
    <mergeCell ref="K45:M45"/>
    <mergeCell ref="K46:M46"/>
    <mergeCell ref="K52:M52"/>
    <mergeCell ref="K50:M50"/>
    <mergeCell ref="K51:M51"/>
    <mergeCell ref="K63:M63"/>
    <mergeCell ref="K64:M64"/>
    <mergeCell ref="K65:M65"/>
    <mergeCell ref="N75:P75"/>
    <mergeCell ref="K68:M68"/>
    <mergeCell ref="K69:M69"/>
    <mergeCell ref="K71:M71"/>
    <mergeCell ref="K72:M72"/>
    <mergeCell ref="K73:M73"/>
    <mergeCell ref="N74:P74"/>
    <mergeCell ref="K70:M70"/>
    <mergeCell ref="K67:M67"/>
    <mergeCell ref="K66:M66"/>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6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DA8-164E-411F-B308-6A554DF700F8}">
  <sheetPr codeName="Blad22">
    <pageSetUpPr fitToPage="1"/>
  </sheetPr>
  <dimension ref="A1:CO70"/>
  <sheetViews>
    <sheetView zoomScale="80" zoomScaleNormal="80" workbookViewId="0">
      <pane xSplit="1" ySplit="12" topLeftCell="L22" activePane="bottomRight" state="frozen"/>
      <selection pane="topRight" activeCell="B1" sqref="B1"/>
      <selection pane="bottomLeft" activeCell="A13" sqref="A13"/>
      <selection pane="bottomRight" activeCell="AD28" sqref="AD28"/>
    </sheetView>
  </sheetViews>
  <sheetFormatPr defaultColWidth="8.7109375" defaultRowHeight="15" x14ac:dyDescent="0.25"/>
  <cols>
    <col min="1" max="1" width="12.85546875" style="21" customWidth="1"/>
    <col min="2" max="2" width="11.7109375" style="21" customWidth="1"/>
    <col min="3" max="6" width="11.85546875" style="21" customWidth="1"/>
    <col min="7" max="12" width="11.7109375" style="21" customWidth="1"/>
    <col min="13" max="15" width="11.85546875" style="21" customWidth="1"/>
    <col min="16" max="17" width="11.7109375" style="21" customWidth="1"/>
    <col min="18" max="18" width="11.85546875" style="21" customWidth="1"/>
    <col min="19" max="19" width="11.7109375" style="21" customWidth="1"/>
    <col min="20" max="20" width="11.85546875" style="21" customWidth="1"/>
    <col min="21" max="24" width="11.7109375" style="21" customWidth="1"/>
    <col min="25" max="25" width="11.85546875" style="21" customWidth="1"/>
    <col min="26" max="26" width="13.42578125" style="21" customWidth="1"/>
    <col min="27" max="27" width="13.28515625" style="21" customWidth="1"/>
    <col min="28" max="35" width="13.42578125" style="21" customWidth="1"/>
    <col min="36" max="38" width="13.28515625" style="21" customWidth="1"/>
    <col min="39" max="43" width="12.42578125" style="21" customWidth="1"/>
    <col min="44" max="44" width="12.28515625" style="21" customWidth="1"/>
    <col min="45" max="49" width="12.42578125" style="21" customWidth="1"/>
    <col min="50" max="50" width="12.5703125" style="21" customWidth="1"/>
    <col min="51" max="16384" width="8.7109375" style="21"/>
  </cols>
  <sheetData>
    <row r="1" spans="1:93" ht="15.75" customHeight="1" thickBot="1" x14ac:dyDescent="0.35">
      <c r="N1" s="556" t="s">
        <v>526</v>
      </c>
      <c r="O1" s="557"/>
      <c r="P1" s="557"/>
      <c r="Q1" s="557"/>
      <c r="R1" s="557"/>
      <c r="S1" s="557"/>
      <c r="T1" s="326"/>
      <c r="AD1" s="558" t="s">
        <v>527</v>
      </c>
      <c r="AE1" s="557"/>
      <c r="AF1" s="557"/>
      <c r="AG1" s="557"/>
      <c r="AH1" s="326"/>
      <c r="AJ1" s="559" t="s">
        <v>528</v>
      </c>
    </row>
    <row r="2" spans="1:93" ht="32.25" customHeight="1" thickBot="1" x14ac:dyDescent="0.4">
      <c r="E2" s="560" t="s">
        <v>529</v>
      </c>
      <c r="K2" s="95"/>
      <c r="N2" s="985"/>
      <c r="O2" s="114" t="s">
        <v>530</v>
      </c>
      <c r="P2" s="561"/>
      <c r="Q2" s="562" t="s">
        <v>531</v>
      </c>
      <c r="R2" s="563" t="s">
        <v>532</v>
      </c>
      <c r="S2" s="563" t="s">
        <v>533</v>
      </c>
      <c r="T2" s="564" t="s">
        <v>534</v>
      </c>
      <c r="AD2" s="1300"/>
      <c r="AE2" s="1307" t="s">
        <v>535</v>
      </c>
      <c r="AF2" s="1307" t="s">
        <v>536</v>
      </c>
      <c r="AG2" s="1307" t="s">
        <v>537</v>
      </c>
      <c r="AH2" s="1308" t="s">
        <v>538</v>
      </c>
      <c r="AI2" s="1308" t="s">
        <v>539</v>
      </c>
      <c r="AJ2" s="559"/>
      <c r="AL2" s="559"/>
      <c r="AM2" s="559"/>
      <c r="AN2" s="559"/>
      <c r="AO2" s="559"/>
      <c r="AP2" s="559"/>
      <c r="AQ2" s="559"/>
      <c r="AR2" s="559"/>
      <c r="AS2" s="559"/>
      <c r="AT2" s="559"/>
      <c r="AU2" s="559"/>
    </row>
    <row r="3" spans="1:93" ht="15.75" customHeight="1" thickBot="1" x14ac:dyDescent="0.35">
      <c r="K3" s="95"/>
      <c r="N3" s="978" t="s">
        <v>282</v>
      </c>
      <c r="O3" s="565" t="s">
        <v>540</v>
      </c>
      <c r="P3" s="566"/>
      <c r="Q3" s="567" t="s">
        <v>468</v>
      </c>
      <c r="R3" s="665"/>
      <c r="S3" s="665"/>
      <c r="T3" s="568">
        <f t="shared" ref="T3:T8" si="0">S3-R3</f>
        <v>0</v>
      </c>
      <c r="V3" s="569" t="s">
        <v>541</v>
      </c>
      <c r="W3" s="570">
        <f>'A. Byggnadsinfo med BBR'!E45</f>
        <v>0</v>
      </c>
      <c r="X3" s="21" t="s">
        <v>86</v>
      </c>
      <c r="AD3" s="1301"/>
      <c r="AE3" s="1097"/>
      <c r="AF3" s="1097"/>
      <c r="AG3" s="1097"/>
      <c r="AH3" s="1309"/>
      <c r="AI3" s="1309"/>
      <c r="AJ3" s="571"/>
      <c r="AK3" s="571"/>
      <c r="AL3" s="571"/>
      <c r="AM3" s="571"/>
      <c r="AN3" s="571"/>
      <c r="AO3" s="571"/>
      <c r="AP3" s="571"/>
      <c r="AQ3" s="571"/>
      <c r="AR3" s="571"/>
      <c r="AS3" s="571"/>
      <c r="AT3" s="571"/>
      <c r="AU3" s="571"/>
    </row>
    <row r="4" spans="1:93" ht="15.75" customHeight="1" thickBot="1" x14ac:dyDescent="0.4">
      <c r="C4" s="451" t="s">
        <v>542</v>
      </c>
      <c r="D4" s="452">
        <f>'A. Byggnadsinfo med BBR'!C9</f>
        <v>0</v>
      </c>
      <c r="E4" s="572"/>
      <c r="F4" s="573"/>
      <c r="J4" s="574" t="s">
        <v>4</v>
      </c>
      <c r="N4" s="986"/>
      <c r="O4" s="576" t="s">
        <v>543</v>
      </c>
      <c r="P4" s="577"/>
      <c r="Q4" s="578" t="s">
        <v>544</v>
      </c>
      <c r="R4" s="666"/>
      <c r="S4" s="666"/>
      <c r="T4" s="579">
        <f t="shared" si="0"/>
        <v>0</v>
      </c>
      <c r="V4" s="569" t="s">
        <v>545</v>
      </c>
      <c r="W4" s="580">
        <f>'A. Byggnadsinfo med BBR'!E43</f>
        <v>0</v>
      </c>
      <c r="X4" s="102" t="s">
        <v>73</v>
      </c>
      <c r="AC4" s="581"/>
      <c r="AD4" s="582"/>
      <c r="AE4" s="583" t="s">
        <v>546</v>
      </c>
      <c r="AF4" s="583" t="s">
        <v>546</v>
      </c>
      <c r="AG4" s="583" t="s">
        <v>546</v>
      </c>
      <c r="AH4" s="584" t="s">
        <v>546</v>
      </c>
      <c r="AI4" s="584" t="s">
        <v>546</v>
      </c>
      <c r="AJ4" s="183"/>
      <c r="AK4" s="183"/>
      <c r="AL4" s="183"/>
      <c r="AM4" s="183"/>
      <c r="AN4" s="183"/>
      <c r="AO4" s="183"/>
      <c r="AP4" s="183"/>
      <c r="AQ4" s="183"/>
      <c r="AR4" s="183"/>
      <c r="AS4" s="183"/>
      <c r="AT4" s="183"/>
      <c r="AU4" s="183"/>
    </row>
    <row r="5" spans="1:93" ht="15.75" customHeight="1" x14ac:dyDescent="0.3">
      <c r="E5" s="451" t="s">
        <v>547</v>
      </c>
      <c r="F5" s="662"/>
      <c r="G5" s="115"/>
      <c r="H5" s="585" t="s">
        <v>548</v>
      </c>
      <c r="I5" s="1302"/>
      <c r="J5" s="1293"/>
      <c r="K5" s="1293"/>
      <c r="L5" s="1303"/>
      <c r="N5" s="978" t="s">
        <v>549</v>
      </c>
      <c r="O5" s="565" t="s">
        <v>540</v>
      </c>
      <c r="P5" s="566"/>
      <c r="Q5" s="567" t="s">
        <v>468</v>
      </c>
      <c r="R5" s="665"/>
      <c r="S5" s="665"/>
      <c r="T5" s="568">
        <f t="shared" si="0"/>
        <v>0</v>
      </c>
      <c r="V5" s="569" t="s">
        <v>550</v>
      </c>
      <c r="W5" s="677"/>
      <c r="X5" s="98" t="s">
        <v>551</v>
      </c>
      <c r="AD5" s="586" t="s">
        <v>282</v>
      </c>
      <c r="AE5" s="587">
        <f>W$3/100*25+(1-W$3/100)*2</f>
        <v>2</v>
      </c>
      <c r="AF5" s="587">
        <f>IF(W$5="JA",AE5*0.9,AE5)</f>
        <v>2</v>
      </c>
      <c r="AG5" s="587">
        <f>IFERROR((-V$26/W$4)/(((AI$26+V$26)/W$4)/AF5),0)</f>
        <v>0</v>
      </c>
      <c r="AH5" s="588">
        <f>IF(W$7=0,(AF5+AG5),(AF5+AG5)/W$7)</f>
        <v>2</v>
      </c>
      <c r="AI5" s="588">
        <f>IFERROR(AI26/$W$4,0)</f>
        <v>0</v>
      </c>
      <c r="AJ5" s="183"/>
      <c r="AK5" s="183"/>
      <c r="AL5" s="183"/>
      <c r="AM5" s="183"/>
      <c r="AN5" s="183"/>
      <c r="AO5" s="183"/>
      <c r="AP5" s="183"/>
      <c r="AQ5" s="183"/>
      <c r="AR5" s="183"/>
      <c r="AS5" s="183"/>
      <c r="AT5" s="183"/>
      <c r="AU5" s="183"/>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row>
    <row r="6" spans="1:93" ht="15.75" customHeight="1" thickBot="1" x14ac:dyDescent="0.4">
      <c r="E6" s="451" t="s">
        <v>552</v>
      </c>
      <c r="F6" s="663"/>
      <c r="H6" s="589" t="s">
        <v>69</v>
      </c>
      <c r="I6" s="1302"/>
      <c r="J6" s="1293"/>
      <c r="K6" s="1293"/>
      <c r="L6" s="1303"/>
      <c r="N6" s="986"/>
      <c r="O6" s="576" t="s">
        <v>543</v>
      </c>
      <c r="P6" s="577"/>
      <c r="Q6" s="578" t="s">
        <v>544</v>
      </c>
      <c r="R6" s="666"/>
      <c r="S6" s="666"/>
      <c r="T6" s="579">
        <f t="shared" si="0"/>
        <v>0</v>
      </c>
      <c r="V6" s="549" t="s">
        <v>372</v>
      </c>
      <c r="W6" s="677">
        <v>1</v>
      </c>
      <c r="AC6" s="581"/>
      <c r="AD6" s="586" t="s">
        <v>549</v>
      </c>
      <c r="AE6" s="590">
        <f>W$3/100*25+(1-W$3/100)*2</f>
        <v>2</v>
      </c>
      <c r="AF6" s="590">
        <f>IF(W$5="JA",AE6*0.9,AE6)</f>
        <v>2</v>
      </c>
      <c r="AG6" s="587">
        <f>IFERROR((-V$40/W$4)/(((AI$40+V$40)/W$4)/AF6),0)</f>
        <v>0</v>
      </c>
      <c r="AH6" s="588">
        <f>IF(W$7=0,(AF6+AG6),(AF6+AG6)/W$7)</f>
        <v>2</v>
      </c>
      <c r="AI6" s="588">
        <f>IFERROR(AI40/$W$4,0)</f>
        <v>0</v>
      </c>
      <c r="AJ6" s="183"/>
      <c r="AK6" s="183"/>
      <c r="AL6" s="183"/>
      <c r="AN6" s="549"/>
      <c r="AO6" s="183"/>
      <c r="AP6" s="183"/>
      <c r="AQ6" s="183"/>
      <c r="AR6" s="183"/>
      <c r="AS6" s="183"/>
      <c r="AT6" s="183"/>
      <c r="AU6" s="183"/>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row>
    <row r="7" spans="1:93" ht="15.75" customHeight="1" thickBot="1" x14ac:dyDescent="0.35">
      <c r="A7" s="115"/>
      <c r="E7" s="451" t="s">
        <v>553</v>
      </c>
      <c r="F7" s="664"/>
      <c r="H7" s="585" t="s">
        <v>554</v>
      </c>
      <c r="I7" s="1302"/>
      <c r="J7" s="1293"/>
      <c r="K7" s="1293"/>
      <c r="L7" s="1303"/>
      <c r="N7" s="979" t="s">
        <v>555</v>
      </c>
      <c r="O7" s="565" t="s">
        <v>540</v>
      </c>
      <c r="P7" s="566"/>
      <c r="Q7" s="567" t="s">
        <v>468</v>
      </c>
      <c r="R7" s="665"/>
      <c r="S7" s="665"/>
      <c r="T7" s="568">
        <f t="shared" si="0"/>
        <v>0</v>
      </c>
      <c r="V7" s="549" t="s">
        <v>556</v>
      </c>
      <c r="W7" s="678">
        <v>1</v>
      </c>
      <c r="AB7" s="451"/>
      <c r="AC7" s="581"/>
      <c r="AD7" s="591" t="s">
        <v>557</v>
      </c>
      <c r="AE7" s="592">
        <f>W$3/100*25+(1-W$3/100)*2</f>
        <v>2</v>
      </c>
      <c r="AF7" s="592">
        <f>IF(W$5="JA",AE7*0.9,AE7)</f>
        <v>2</v>
      </c>
      <c r="AG7" s="592">
        <f>IFERROR((-V$54/W$4)/(((AI$54+V$54)/W$4)/AF7),0)</f>
        <v>0</v>
      </c>
      <c r="AH7" s="593">
        <f>IF(W$7=0,(AF7+AG7),(AF7+AG7)/W$7)</f>
        <v>2</v>
      </c>
      <c r="AI7" s="594">
        <f>IFERROR(AI54/$W$4,0)</f>
        <v>0</v>
      </c>
      <c r="AJ7" s="183"/>
      <c r="AK7" s="183"/>
      <c r="AL7" s="183"/>
      <c r="AM7" s="183"/>
      <c r="AN7" s="183"/>
      <c r="AO7" s="183"/>
      <c r="AP7" s="183"/>
      <c r="AQ7" s="183"/>
      <c r="AR7" s="183"/>
      <c r="AS7" s="183"/>
      <c r="AT7" s="183"/>
      <c r="AU7" s="183"/>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row>
    <row r="8" spans="1:93" ht="15.75" customHeight="1" thickBot="1" x14ac:dyDescent="0.4">
      <c r="A8" s="45"/>
      <c r="E8" s="451" t="s">
        <v>558</v>
      </c>
      <c r="F8" s="664"/>
      <c r="H8" s="595" t="s">
        <v>559</v>
      </c>
      <c r="I8" s="1304"/>
      <c r="J8" s="1305"/>
      <c r="K8" s="1305"/>
      <c r="L8" s="1306"/>
      <c r="N8" s="575" t="s">
        <v>549</v>
      </c>
      <c r="O8" s="576" t="s">
        <v>543</v>
      </c>
      <c r="P8" s="577"/>
      <c r="Q8" s="578" t="s">
        <v>544</v>
      </c>
      <c r="R8" s="666"/>
      <c r="S8" s="666"/>
      <c r="T8" s="579">
        <f t="shared" si="0"/>
        <v>0</v>
      </c>
      <c r="AC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row>
    <row r="9" spans="1:93" ht="15.75" customHeight="1" thickBot="1" x14ac:dyDescent="0.35">
      <c r="B9" s="596" t="s">
        <v>560</v>
      </c>
      <c r="C9" s="597"/>
      <c r="D9" s="597"/>
      <c r="E9" s="597"/>
      <c r="F9" s="597"/>
      <c r="G9" s="598" t="s">
        <v>561</v>
      </c>
      <c r="H9" s="599" t="s">
        <v>562</v>
      </c>
      <c r="I9" s="599"/>
      <c r="J9" s="599"/>
      <c r="K9" s="599"/>
      <c r="L9" s="599"/>
      <c r="M9" s="600" t="s">
        <v>563</v>
      </c>
      <c r="N9" s="601"/>
      <c r="O9" s="601"/>
      <c r="P9" s="601"/>
      <c r="Q9" s="602" t="s">
        <v>564</v>
      </c>
      <c r="R9" s="602"/>
      <c r="S9" s="602"/>
      <c r="T9" s="602"/>
      <c r="U9" s="602"/>
      <c r="V9" s="602"/>
      <c r="W9" s="603" t="s">
        <v>565</v>
      </c>
      <c r="X9" s="603"/>
      <c r="Y9" s="603"/>
      <c r="Z9" s="603"/>
      <c r="AA9" s="604" t="s">
        <v>566</v>
      </c>
      <c r="AB9" s="604"/>
      <c r="AC9" s="605"/>
      <c r="AD9" s="605"/>
      <c r="AE9" s="606" t="s">
        <v>567</v>
      </c>
      <c r="AF9" s="607"/>
      <c r="AG9" s="607"/>
      <c r="AH9" s="604" t="s">
        <v>568</v>
      </c>
      <c r="AI9" s="604"/>
      <c r="AJ9" s="608" t="s">
        <v>569</v>
      </c>
      <c r="AK9" s="608"/>
      <c r="AL9" s="608" t="s">
        <v>570</v>
      </c>
      <c r="AM9" s="608"/>
      <c r="AN9" s="608"/>
      <c r="AO9" s="609" t="s">
        <v>571</v>
      </c>
      <c r="AP9" s="609"/>
      <c r="AQ9" s="609"/>
      <c r="AR9" s="609"/>
      <c r="AS9" s="609"/>
      <c r="AT9" s="610" t="s">
        <v>570</v>
      </c>
      <c r="AU9" s="610" t="s">
        <v>570</v>
      </c>
      <c r="AV9" s="610" t="s">
        <v>570</v>
      </c>
      <c r="AW9" s="610" t="s">
        <v>570</v>
      </c>
      <c r="AX9" s="609"/>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row>
    <row r="10" spans="1:93" ht="15.75" customHeight="1" thickBot="1" x14ac:dyDescent="0.35">
      <c r="A10" s="611" t="s">
        <v>572</v>
      </c>
      <c r="B10" s="667"/>
      <c r="C10" s="667"/>
      <c r="D10" s="667"/>
      <c r="E10" s="667"/>
      <c r="F10" s="668"/>
      <c r="G10" s="667" t="s">
        <v>573</v>
      </c>
      <c r="H10" s="669"/>
      <c r="I10" s="667" t="s">
        <v>574</v>
      </c>
      <c r="J10" s="667"/>
      <c r="K10" s="667"/>
      <c r="L10" s="668"/>
      <c r="M10" s="669"/>
      <c r="N10" s="667"/>
      <c r="O10" s="667"/>
      <c r="P10" s="668"/>
      <c r="Q10" s="668"/>
      <c r="R10" s="669"/>
      <c r="S10" s="670" t="s">
        <v>575</v>
      </c>
      <c r="T10" s="667"/>
      <c r="U10" s="671"/>
      <c r="V10" s="672"/>
      <c r="W10" s="673"/>
      <c r="X10" s="670" t="s">
        <v>575</v>
      </c>
      <c r="Y10" s="669"/>
      <c r="Z10" s="668"/>
      <c r="AA10" s="669"/>
      <c r="AB10" s="667"/>
      <c r="AC10" s="667"/>
      <c r="AD10" s="667"/>
      <c r="AE10" s="667" t="s">
        <v>576</v>
      </c>
      <c r="AF10" s="667" t="s">
        <v>576</v>
      </c>
      <c r="AG10" s="668"/>
      <c r="AH10" s="674"/>
      <c r="AI10" s="612"/>
      <c r="AJ10" s="675"/>
      <c r="AK10" s="613"/>
      <c r="AL10" s="613"/>
      <c r="AM10" s="671"/>
      <c r="AN10" s="676"/>
      <c r="AO10" s="674"/>
      <c r="AP10" s="671"/>
      <c r="AQ10" s="614"/>
      <c r="AR10" s="614"/>
      <c r="AS10" s="614"/>
      <c r="AT10" s="614"/>
      <c r="AU10" s="614"/>
      <c r="AV10" s="614"/>
      <c r="AW10" s="614"/>
      <c r="AX10" s="676"/>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row>
    <row r="11" spans="1:93" ht="81.75" customHeight="1" thickBot="1" x14ac:dyDescent="0.3">
      <c r="A11" s="615"/>
      <c r="B11" s="616" t="s">
        <v>577</v>
      </c>
      <c r="C11" s="616" t="s">
        <v>578</v>
      </c>
      <c r="D11" s="616" t="s">
        <v>579</v>
      </c>
      <c r="E11" s="616" t="s">
        <v>580</v>
      </c>
      <c r="F11" s="617" t="s">
        <v>581</v>
      </c>
      <c r="G11" s="618" t="s">
        <v>582</v>
      </c>
      <c r="H11" s="619" t="s">
        <v>583</v>
      </c>
      <c r="I11" s="616" t="s">
        <v>584</v>
      </c>
      <c r="J11" s="616" t="s">
        <v>585</v>
      </c>
      <c r="K11" s="616" t="s">
        <v>586</v>
      </c>
      <c r="L11" s="617" t="s">
        <v>587</v>
      </c>
      <c r="M11" s="619" t="s">
        <v>588</v>
      </c>
      <c r="N11" s="616" t="s">
        <v>589</v>
      </c>
      <c r="O11" s="616" t="s">
        <v>590</v>
      </c>
      <c r="P11" s="617" t="s">
        <v>591</v>
      </c>
      <c r="Q11" s="618" t="s">
        <v>592</v>
      </c>
      <c r="R11" s="619" t="s">
        <v>593</v>
      </c>
      <c r="S11" s="616" t="s">
        <v>594</v>
      </c>
      <c r="T11" s="616" t="s">
        <v>595</v>
      </c>
      <c r="U11" s="616" t="s">
        <v>596</v>
      </c>
      <c r="V11" s="618" t="s">
        <v>597</v>
      </c>
      <c r="W11" s="619" t="s">
        <v>598</v>
      </c>
      <c r="X11" s="616" t="s">
        <v>599</v>
      </c>
      <c r="Y11" s="616" t="s">
        <v>600</v>
      </c>
      <c r="Z11" s="617" t="s">
        <v>601</v>
      </c>
      <c r="AA11" s="619" t="s">
        <v>602</v>
      </c>
      <c r="AB11" s="616" t="s">
        <v>603</v>
      </c>
      <c r="AC11" s="620" t="s">
        <v>604</v>
      </c>
      <c r="AD11" s="616" t="s">
        <v>605</v>
      </c>
      <c r="AE11" s="616" t="s">
        <v>606</v>
      </c>
      <c r="AF11" s="616" t="s">
        <v>607</v>
      </c>
      <c r="AG11" s="617" t="s">
        <v>608</v>
      </c>
      <c r="AH11" s="619" t="s">
        <v>609</v>
      </c>
      <c r="AI11" s="617" t="s">
        <v>610</v>
      </c>
      <c r="AJ11" s="619" t="s">
        <v>611</v>
      </c>
      <c r="AK11" s="616" t="s">
        <v>612</v>
      </c>
      <c r="AL11" s="620" t="s">
        <v>613</v>
      </c>
      <c r="AM11" s="616" t="s">
        <v>614</v>
      </c>
      <c r="AN11" s="618" t="s">
        <v>615</v>
      </c>
      <c r="AO11" s="621" t="s">
        <v>616</v>
      </c>
      <c r="AP11" s="622" t="s">
        <v>617</v>
      </c>
      <c r="AQ11" s="622" t="s">
        <v>618</v>
      </c>
      <c r="AR11" s="622" t="s">
        <v>619</v>
      </c>
      <c r="AS11" s="622" t="s">
        <v>620</v>
      </c>
      <c r="AT11" s="622" t="s">
        <v>621</v>
      </c>
      <c r="AU11" s="622" t="s">
        <v>622</v>
      </c>
      <c r="AV11" s="623" t="s">
        <v>623</v>
      </c>
      <c r="AW11" s="623" t="s">
        <v>624</v>
      </c>
      <c r="AX11" s="624" t="s">
        <v>512</v>
      </c>
    </row>
    <row r="12" spans="1:93" ht="18.75" thickBot="1" x14ac:dyDescent="0.35">
      <c r="A12" s="625" t="s">
        <v>625</v>
      </c>
      <c r="B12" s="626" t="s">
        <v>238</v>
      </c>
      <c r="C12" s="626" t="s">
        <v>238</v>
      </c>
      <c r="D12" s="626" t="s">
        <v>238</v>
      </c>
      <c r="E12" s="626" t="s">
        <v>238</v>
      </c>
      <c r="F12" s="627" t="s">
        <v>238</v>
      </c>
      <c r="G12" s="628" t="s">
        <v>238</v>
      </c>
      <c r="H12" s="629" t="s">
        <v>238</v>
      </c>
      <c r="I12" s="626" t="s">
        <v>238</v>
      </c>
      <c r="J12" s="626" t="s">
        <v>238</v>
      </c>
      <c r="K12" s="626" t="s">
        <v>238</v>
      </c>
      <c r="L12" s="627" t="s">
        <v>238</v>
      </c>
      <c r="M12" s="629" t="s">
        <v>238</v>
      </c>
      <c r="N12" s="626" t="s">
        <v>238</v>
      </c>
      <c r="O12" s="626" t="s">
        <v>238</v>
      </c>
      <c r="P12" s="627" t="s">
        <v>238</v>
      </c>
      <c r="Q12" s="630" t="s">
        <v>626</v>
      </c>
      <c r="R12" s="629" t="s">
        <v>238</v>
      </c>
      <c r="S12" s="626" t="s">
        <v>238</v>
      </c>
      <c r="T12" s="626" t="s">
        <v>238</v>
      </c>
      <c r="U12" s="626" t="s">
        <v>238</v>
      </c>
      <c r="V12" s="628" t="s">
        <v>238</v>
      </c>
      <c r="W12" s="629" t="s">
        <v>238</v>
      </c>
      <c r="X12" s="626" t="s">
        <v>238</v>
      </c>
      <c r="Y12" s="626" t="s">
        <v>238</v>
      </c>
      <c r="Z12" s="627" t="s">
        <v>238</v>
      </c>
      <c r="AA12" s="629" t="s">
        <v>238</v>
      </c>
      <c r="AB12" s="626" t="s">
        <v>238</v>
      </c>
      <c r="AC12" s="626" t="s">
        <v>238</v>
      </c>
      <c r="AD12" s="626"/>
      <c r="AE12" s="626" t="s">
        <v>238</v>
      </c>
      <c r="AF12" s="626" t="s">
        <v>238</v>
      </c>
      <c r="AG12" s="627" t="s">
        <v>238</v>
      </c>
      <c r="AH12" s="629" t="s">
        <v>238</v>
      </c>
      <c r="AI12" s="627" t="s">
        <v>238</v>
      </c>
      <c r="AJ12" s="631" t="s">
        <v>238</v>
      </c>
      <c r="AK12" s="632" t="s">
        <v>238</v>
      </c>
      <c r="AL12" s="633" t="s">
        <v>238</v>
      </c>
      <c r="AM12" s="633" t="s">
        <v>238</v>
      </c>
      <c r="AN12" s="634" t="s">
        <v>238</v>
      </c>
      <c r="AO12" s="635" t="s">
        <v>238</v>
      </c>
      <c r="AP12" s="636" t="s">
        <v>238</v>
      </c>
      <c r="AQ12" s="636" t="s">
        <v>238</v>
      </c>
      <c r="AR12" s="636" t="s">
        <v>238</v>
      </c>
      <c r="AS12" s="636"/>
      <c r="AT12" s="636" t="s">
        <v>238</v>
      </c>
      <c r="AU12" s="636" t="s">
        <v>238</v>
      </c>
      <c r="AV12" s="636" t="s">
        <v>238</v>
      </c>
      <c r="AW12" s="636" t="s">
        <v>238</v>
      </c>
      <c r="AX12" s="637" t="s">
        <v>238</v>
      </c>
    </row>
    <row r="13" spans="1:93" ht="15.75" x14ac:dyDescent="0.3">
      <c r="A13" s="503">
        <v>1</v>
      </c>
      <c r="B13" s="679"/>
      <c r="C13" s="680"/>
      <c r="D13" s="680"/>
      <c r="E13" s="680"/>
      <c r="F13" s="681"/>
      <c r="G13" s="682"/>
      <c r="H13" s="683"/>
      <c r="I13" s="680"/>
      <c r="J13" s="684"/>
      <c r="K13" s="684"/>
      <c r="L13" s="681"/>
      <c r="M13" s="683"/>
      <c r="N13" s="680"/>
      <c r="O13" s="685"/>
      <c r="P13" s="686"/>
      <c r="Q13" s="687"/>
      <c r="R13" s="683"/>
      <c r="S13" s="680">
        <f t="shared" ref="S13:S53" si="1">Q13*55/$W$7</f>
        <v>0</v>
      </c>
      <c r="T13" s="680"/>
      <c r="U13" s="680"/>
      <c r="V13" s="688"/>
      <c r="W13" s="638">
        <f t="shared" ref="W13:W25" si="2">B13-H13-M13-R13</f>
        <v>0</v>
      </c>
      <c r="X13" s="639">
        <f>G13-S13</f>
        <v>0</v>
      </c>
      <c r="Y13" s="640">
        <f>E13-K13-O13-T13</f>
        <v>0</v>
      </c>
      <c r="Z13" s="482">
        <f>F13-L13-P13-U13</f>
        <v>0</v>
      </c>
      <c r="AA13" s="641">
        <f>W13+X13+Y13+Z13</f>
        <v>0</v>
      </c>
      <c r="AB13" s="481">
        <f t="shared" ref="AB13:AB25" si="3">IF(AA13&gt;0,-0.05*AA13*T$3,0)</f>
        <v>0</v>
      </c>
      <c r="AC13" s="481">
        <f t="shared" ref="AC13:AC24" si="4">IF(AA13&gt;0,0.7*T$4*W$4/W$6*720/8760,0)</f>
        <v>0</v>
      </c>
      <c r="AD13" s="712"/>
      <c r="AE13" s="481">
        <f>IF(AD13=0,0,(AA13+AB13+AC13)/AD13)</f>
        <v>0</v>
      </c>
      <c r="AF13" s="715"/>
      <c r="AG13" s="681"/>
      <c r="AH13" s="716"/>
      <c r="AI13" s="642">
        <f t="shared" ref="AI13:AI24" si="5">R13+S13+T13+U13-V13+AH13</f>
        <v>0</v>
      </c>
      <c r="AJ13" s="683"/>
      <c r="AK13" s="481">
        <f>C13-I13-N13-S13-X13+AJ13</f>
        <v>0</v>
      </c>
      <c r="AL13" s="680"/>
      <c r="AM13" s="680"/>
      <c r="AN13" s="681"/>
      <c r="AO13" s="683"/>
      <c r="AP13" s="680"/>
      <c r="AQ13" s="481">
        <f t="shared" ref="AQ13:AQ25" si="6">D13-J13</f>
        <v>0</v>
      </c>
      <c r="AR13" s="481">
        <f>AO13-AP13</f>
        <v>0</v>
      </c>
      <c r="AS13" s="1052"/>
      <c r="AT13" s="481">
        <f>IF(AS13&gt;0,AQ13/AS13,0)</f>
        <v>0</v>
      </c>
      <c r="AU13" s="481">
        <f>IF(AS13&gt;0,AR13/AS13,0)</f>
        <v>0</v>
      </c>
      <c r="AV13" s="680"/>
      <c r="AW13" s="680"/>
      <c r="AX13" s="681"/>
    </row>
    <row r="14" spans="1:93" ht="15.75" x14ac:dyDescent="0.3">
      <c r="A14" s="503">
        <v>2</v>
      </c>
      <c r="B14" s="689"/>
      <c r="C14" s="680"/>
      <c r="D14" s="680"/>
      <c r="E14" s="680"/>
      <c r="F14" s="681"/>
      <c r="G14" s="690"/>
      <c r="H14" s="683"/>
      <c r="I14" s="680"/>
      <c r="J14" s="684"/>
      <c r="K14" s="684"/>
      <c r="L14" s="681"/>
      <c r="M14" s="683"/>
      <c r="N14" s="680"/>
      <c r="O14" s="691"/>
      <c r="P14" s="692"/>
      <c r="Q14" s="693"/>
      <c r="R14" s="683"/>
      <c r="S14" s="680">
        <f t="shared" si="1"/>
        <v>0</v>
      </c>
      <c r="T14" s="680"/>
      <c r="U14" s="680"/>
      <c r="V14" s="694"/>
      <c r="W14" s="638">
        <f t="shared" si="2"/>
        <v>0</v>
      </c>
      <c r="X14" s="643">
        <f t="shared" ref="X14:X53" si="7">G14-S14</f>
        <v>0</v>
      </c>
      <c r="Y14" s="640">
        <f t="shared" ref="Y14:Y24" si="8">E14-K14-O14-T14</f>
        <v>0</v>
      </c>
      <c r="Z14" s="644">
        <f t="shared" ref="Z14:Z25" si="9">F14-L14-P14-U14</f>
        <v>0</v>
      </c>
      <c r="AA14" s="641">
        <f t="shared" ref="AA14:AA24" si="10">W14+X14+Y14+Z14</f>
        <v>0</v>
      </c>
      <c r="AB14" s="481">
        <f t="shared" si="3"/>
        <v>0</v>
      </c>
      <c r="AC14" s="481">
        <f t="shared" si="4"/>
        <v>0</v>
      </c>
      <c r="AD14" s="712"/>
      <c r="AE14" s="488">
        <f t="shared" ref="AE14:AE25" si="11">IF(AD14=0,0,(AA14+AB14+AC14)/AD14)</f>
        <v>0</v>
      </c>
      <c r="AF14" s="715"/>
      <c r="AG14" s="681"/>
      <c r="AH14" s="554"/>
      <c r="AI14" s="489">
        <f t="shared" si="5"/>
        <v>0</v>
      </c>
      <c r="AJ14" s="683"/>
      <c r="AK14" s="481">
        <f t="shared" ref="AK14:AK25" si="12">C14-I14-N14-S14-X14+AJ14</f>
        <v>0</v>
      </c>
      <c r="AL14" s="696"/>
      <c r="AM14" s="696"/>
      <c r="AN14" s="694"/>
      <c r="AO14" s="683"/>
      <c r="AP14" s="696"/>
      <c r="AQ14" s="481">
        <f t="shared" si="6"/>
        <v>0</v>
      </c>
      <c r="AR14" s="481">
        <f t="shared" ref="AR14:AR25" si="13">AO14-AP14</f>
        <v>0</v>
      </c>
      <c r="AS14" s="1053"/>
      <c r="AT14" s="481">
        <f t="shared" ref="AT14:AT25" si="14">IF(AS14&gt;0,AQ14/AS14,0)</f>
        <v>0</v>
      </c>
      <c r="AU14" s="481">
        <f t="shared" ref="AU14:AU25" si="15">IF(AS14&gt;0,AR14/AS14,0)</f>
        <v>0</v>
      </c>
      <c r="AV14" s="680"/>
      <c r="AW14" s="680"/>
      <c r="AX14" s="681"/>
    </row>
    <row r="15" spans="1:93" ht="15.75" x14ac:dyDescent="0.3">
      <c r="A15" s="503">
        <v>3</v>
      </c>
      <c r="B15" s="689"/>
      <c r="C15" s="680"/>
      <c r="D15" s="680"/>
      <c r="E15" s="680"/>
      <c r="F15" s="681"/>
      <c r="G15" s="690"/>
      <c r="H15" s="683"/>
      <c r="I15" s="680"/>
      <c r="J15" s="684"/>
      <c r="K15" s="684"/>
      <c r="L15" s="681"/>
      <c r="M15" s="683"/>
      <c r="N15" s="680"/>
      <c r="O15" s="691"/>
      <c r="P15" s="692"/>
      <c r="Q15" s="693"/>
      <c r="R15" s="683"/>
      <c r="S15" s="680">
        <f t="shared" si="1"/>
        <v>0</v>
      </c>
      <c r="T15" s="680"/>
      <c r="U15" s="680"/>
      <c r="V15" s="694"/>
      <c r="W15" s="638">
        <f t="shared" si="2"/>
        <v>0</v>
      </c>
      <c r="X15" s="643">
        <f t="shared" si="7"/>
        <v>0</v>
      </c>
      <c r="Y15" s="640">
        <f t="shared" si="8"/>
        <v>0</v>
      </c>
      <c r="Z15" s="644">
        <f t="shared" si="9"/>
        <v>0</v>
      </c>
      <c r="AA15" s="641">
        <f t="shared" si="10"/>
        <v>0</v>
      </c>
      <c r="AB15" s="481">
        <f t="shared" si="3"/>
        <v>0</v>
      </c>
      <c r="AC15" s="481">
        <f t="shared" si="4"/>
        <v>0</v>
      </c>
      <c r="AD15" s="712"/>
      <c r="AE15" s="488">
        <f t="shared" si="11"/>
        <v>0</v>
      </c>
      <c r="AF15" s="715"/>
      <c r="AG15" s="681"/>
      <c r="AH15" s="554"/>
      <c r="AI15" s="489">
        <f t="shared" si="5"/>
        <v>0</v>
      </c>
      <c r="AJ15" s="683"/>
      <c r="AK15" s="481">
        <f t="shared" si="12"/>
        <v>0</v>
      </c>
      <c r="AL15" s="696"/>
      <c r="AM15" s="696"/>
      <c r="AN15" s="694"/>
      <c r="AO15" s="683"/>
      <c r="AP15" s="696"/>
      <c r="AQ15" s="481">
        <f t="shared" si="6"/>
        <v>0</v>
      </c>
      <c r="AR15" s="481">
        <f t="shared" si="13"/>
        <v>0</v>
      </c>
      <c r="AS15" s="1053"/>
      <c r="AT15" s="481">
        <f t="shared" si="14"/>
        <v>0</v>
      </c>
      <c r="AU15" s="481">
        <f t="shared" si="15"/>
        <v>0</v>
      </c>
      <c r="AV15" s="680"/>
      <c r="AW15" s="680"/>
      <c r="AX15" s="681"/>
    </row>
    <row r="16" spans="1:93" ht="15.75" x14ac:dyDescent="0.3">
      <c r="A16" s="503">
        <v>4</v>
      </c>
      <c r="B16" s="689"/>
      <c r="C16" s="680"/>
      <c r="D16" s="680"/>
      <c r="E16" s="680"/>
      <c r="F16" s="681"/>
      <c r="G16" s="690"/>
      <c r="H16" s="683"/>
      <c r="I16" s="680"/>
      <c r="J16" s="684"/>
      <c r="K16" s="684"/>
      <c r="L16" s="681"/>
      <c r="M16" s="683"/>
      <c r="N16" s="680"/>
      <c r="O16" s="691"/>
      <c r="P16" s="692"/>
      <c r="Q16" s="693"/>
      <c r="R16" s="683"/>
      <c r="S16" s="680">
        <f t="shared" si="1"/>
        <v>0</v>
      </c>
      <c r="T16" s="680"/>
      <c r="U16" s="680"/>
      <c r="V16" s="694"/>
      <c r="W16" s="638">
        <f t="shared" si="2"/>
        <v>0</v>
      </c>
      <c r="X16" s="643">
        <f t="shared" si="7"/>
        <v>0</v>
      </c>
      <c r="Y16" s="640">
        <f t="shared" si="8"/>
        <v>0</v>
      </c>
      <c r="Z16" s="644">
        <f t="shared" si="9"/>
        <v>0</v>
      </c>
      <c r="AA16" s="641">
        <f t="shared" si="10"/>
        <v>0</v>
      </c>
      <c r="AB16" s="481">
        <f t="shared" si="3"/>
        <v>0</v>
      </c>
      <c r="AC16" s="481">
        <f t="shared" si="4"/>
        <v>0</v>
      </c>
      <c r="AD16" s="712"/>
      <c r="AE16" s="488">
        <f t="shared" si="11"/>
        <v>0</v>
      </c>
      <c r="AF16" s="715"/>
      <c r="AG16" s="681"/>
      <c r="AH16" s="554"/>
      <c r="AI16" s="489">
        <f t="shared" si="5"/>
        <v>0</v>
      </c>
      <c r="AJ16" s="683"/>
      <c r="AK16" s="481">
        <f t="shared" si="12"/>
        <v>0</v>
      </c>
      <c r="AL16" s="696"/>
      <c r="AM16" s="696"/>
      <c r="AN16" s="694"/>
      <c r="AO16" s="683"/>
      <c r="AP16" s="696"/>
      <c r="AQ16" s="481">
        <f t="shared" si="6"/>
        <v>0</v>
      </c>
      <c r="AR16" s="481">
        <f t="shared" si="13"/>
        <v>0</v>
      </c>
      <c r="AS16" s="1053"/>
      <c r="AT16" s="481">
        <f t="shared" si="14"/>
        <v>0</v>
      </c>
      <c r="AU16" s="481">
        <f t="shared" si="15"/>
        <v>0</v>
      </c>
      <c r="AV16" s="680"/>
      <c r="AW16" s="680"/>
      <c r="AX16" s="681"/>
    </row>
    <row r="17" spans="1:50" ht="15.75" x14ac:dyDescent="0.3">
      <c r="A17" s="503">
        <v>5</v>
      </c>
      <c r="B17" s="689"/>
      <c r="C17" s="680"/>
      <c r="D17" s="680"/>
      <c r="E17" s="680"/>
      <c r="F17" s="681"/>
      <c r="G17" s="690"/>
      <c r="H17" s="683"/>
      <c r="I17" s="680"/>
      <c r="J17" s="684"/>
      <c r="K17" s="684"/>
      <c r="L17" s="681"/>
      <c r="M17" s="683"/>
      <c r="N17" s="680"/>
      <c r="O17" s="691"/>
      <c r="P17" s="692"/>
      <c r="Q17" s="693"/>
      <c r="R17" s="683"/>
      <c r="S17" s="680">
        <f t="shared" si="1"/>
        <v>0</v>
      </c>
      <c r="T17" s="680"/>
      <c r="U17" s="680"/>
      <c r="V17" s="694"/>
      <c r="W17" s="638">
        <f t="shared" si="2"/>
        <v>0</v>
      </c>
      <c r="X17" s="643">
        <f t="shared" si="7"/>
        <v>0</v>
      </c>
      <c r="Y17" s="640">
        <f t="shared" si="8"/>
        <v>0</v>
      </c>
      <c r="Z17" s="644">
        <f t="shared" si="9"/>
        <v>0</v>
      </c>
      <c r="AA17" s="641">
        <f t="shared" si="10"/>
        <v>0</v>
      </c>
      <c r="AB17" s="481">
        <f t="shared" si="3"/>
        <v>0</v>
      </c>
      <c r="AC17" s="481">
        <f t="shared" si="4"/>
        <v>0</v>
      </c>
      <c r="AD17" s="712"/>
      <c r="AE17" s="488">
        <f t="shared" si="11"/>
        <v>0</v>
      </c>
      <c r="AF17" s="715"/>
      <c r="AG17" s="681"/>
      <c r="AH17" s="554"/>
      <c r="AI17" s="489">
        <f t="shared" si="5"/>
        <v>0</v>
      </c>
      <c r="AJ17" s="683"/>
      <c r="AK17" s="481">
        <f t="shared" si="12"/>
        <v>0</v>
      </c>
      <c r="AL17" s="696"/>
      <c r="AM17" s="696"/>
      <c r="AN17" s="694"/>
      <c r="AO17" s="683"/>
      <c r="AP17" s="696"/>
      <c r="AQ17" s="481">
        <f t="shared" si="6"/>
        <v>0</v>
      </c>
      <c r="AR17" s="481">
        <f t="shared" si="13"/>
        <v>0</v>
      </c>
      <c r="AS17" s="1053"/>
      <c r="AT17" s="481">
        <f t="shared" si="14"/>
        <v>0</v>
      </c>
      <c r="AU17" s="481">
        <f t="shared" si="15"/>
        <v>0</v>
      </c>
      <c r="AV17" s="680"/>
      <c r="AW17" s="680"/>
      <c r="AX17" s="681"/>
    </row>
    <row r="18" spans="1:50" ht="15.75" x14ac:dyDescent="0.3">
      <c r="A18" s="503">
        <v>6</v>
      </c>
      <c r="B18" s="689"/>
      <c r="C18" s="680"/>
      <c r="D18" s="680"/>
      <c r="E18" s="680"/>
      <c r="F18" s="681"/>
      <c r="G18" s="690"/>
      <c r="H18" s="683"/>
      <c r="I18" s="680"/>
      <c r="J18" s="684"/>
      <c r="K18" s="684"/>
      <c r="L18" s="681"/>
      <c r="M18" s="683"/>
      <c r="N18" s="680"/>
      <c r="O18" s="691"/>
      <c r="P18" s="692"/>
      <c r="Q18" s="693"/>
      <c r="R18" s="683"/>
      <c r="S18" s="680">
        <f t="shared" si="1"/>
        <v>0</v>
      </c>
      <c r="T18" s="680"/>
      <c r="U18" s="680"/>
      <c r="V18" s="694"/>
      <c r="W18" s="638">
        <f t="shared" si="2"/>
        <v>0</v>
      </c>
      <c r="X18" s="643">
        <f t="shared" si="7"/>
        <v>0</v>
      </c>
      <c r="Y18" s="640">
        <f t="shared" si="8"/>
        <v>0</v>
      </c>
      <c r="Z18" s="644">
        <f t="shared" si="9"/>
        <v>0</v>
      </c>
      <c r="AA18" s="641">
        <f t="shared" si="10"/>
        <v>0</v>
      </c>
      <c r="AB18" s="481">
        <f t="shared" si="3"/>
        <v>0</v>
      </c>
      <c r="AC18" s="481">
        <f t="shared" si="4"/>
        <v>0</v>
      </c>
      <c r="AD18" s="713"/>
      <c r="AE18" s="488">
        <f t="shared" si="11"/>
        <v>0</v>
      </c>
      <c r="AF18" s="715"/>
      <c r="AG18" s="681"/>
      <c r="AH18" s="554"/>
      <c r="AI18" s="489">
        <f t="shared" si="5"/>
        <v>0</v>
      </c>
      <c r="AJ18" s="683"/>
      <c r="AK18" s="481">
        <f t="shared" si="12"/>
        <v>0</v>
      </c>
      <c r="AL18" s="696"/>
      <c r="AM18" s="696"/>
      <c r="AN18" s="694"/>
      <c r="AO18" s="683"/>
      <c r="AP18" s="696"/>
      <c r="AQ18" s="481">
        <f t="shared" si="6"/>
        <v>0</v>
      </c>
      <c r="AR18" s="481">
        <f t="shared" si="13"/>
        <v>0</v>
      </c>
      <c r="AS18" s="1053"/>
      <c r="AT18" s="481">
        <f t="shared" si="14"/>
        <v>0</v>
      </c>
      <c r="AU18" s="481">
        <f t="shared" si="15"/>
        <v>0</v>
      </c>
      <c r="AV18" s="680"/>
      <c r="AW18" s="680"/>
      <c r="AX18" s="681"/>
    </row>
    <row r="19" spans="1:50" ht="15.75" x14ac:dyDescent="0.3">
      <c r="A19" s="503">
        <v>7</v>
      </c>
      <c r="B19" s="689"/>
      <c r="C19" s="680"/>
      <c r="D19" s="680"/>
      <c r="E19" s="680"/>
      <c r="F19" s="681"/>
      <c r="G19" s="690"/>
      <c r="H19" s="683"/>
      <c r="I19" s="680"/>
      <c r="J19" s="684"/>
      <c r="K19" s="684"/>
      <c r="L19" s="681"/>
      <c r="M19" s="683"/>
      <c r="N19" s="680"/>
      <c r="O19" s="691"/>
      <c r="P19" s="692"/>
      <c r="Q19" s="693"/>
      <c r="R19" s="683"/>
      <c r="S19" s="680">
        <f t="shared" si="1"/>
        <v>0</v>
      </c>
      <c r="T19" s="680"/>
      <c r="U19" s="680"/>
      <c r="V19" s="694"/>
      <c r="W19" s="638">
        <f t="shared" si="2"/>
        <v>0</v>
      </c>
      <c r="X19" s="643">
        <f t="shared" si="7"/>
        <v>0</v>
      </c>
      <c r="Y19" s="640">
        <f t="shared" si="8"/>
        <v>0</v>
      </c>
      <c r="Z19" s="644">
        <f t="shared" si="9"/>
        <v>0</v>
      </c>
      <c r="AA19" s="641">
        <f t="shared" si="10"/>
        <v>0</v>
      </c>
      <c r="AB19" s="481">
        <f t="shared" si="3"/>
        <v>0</v>
      </c>
      <c r="AC19" s="481">
        <f t="shared" si="4"/>
        <v>0</v>
      </c>
      <c r="AD19" s="713"/>
      <c r="AE19" s="488">
        <f t="shared" si="11"/>
        <v>0</v>
      </c>
      <c r="AF19" s="715"/>
      <c r="AG19" s="681"/>
      <c r="AH19" s="554"/>
      <c r="AI19" s="489">
        <f t="shared" si="5"/>
        <v>0</v>
      </c>
      <c r="AJ19" s="683"/>
      <c r="AK19" s="481">
        <f t="shared" si="12"/>
        <v>0</v>
      </c>
      <c r="AL19" s="696"/>
      <c r="AM19" s="696"/>
      <c r="AN19" s="694"/>
      <c r="AO19" s="683"/>
      <c r="AP19" s="696"/>
      <c r="AQ19" s="481">
        <f t="shared" si="6"/>
        <v>0</v>
      </c>
      <c r="AR19" s="481">
        <f t="shared" si="13"/>
        <v>0</v>
      </c>
      <c r="AS19" s="1053"/>
      <c r="AT19" s="481">
        <f t="shared" si="14"/>
        <v>0</v>
      </c>
      <c r="AU19" s="481">
        <f t="shared" si="15"/>
        <v>0</v>
      </c>
      <c r="AV19" s="680"/>
      <c r="AW19" s="680"/>
      <c r="AX19" s="681"/>
    </row>
    <row r="20" spans="1:50" ht="15.75" x14ac:dyDescent="0.3">
      <c r="A20" s="503">
        <v>8</v>
      </c>
      <c r="B20" s="689"/>
      <c r="C20" s="680"/>
      <c r="D20" s="680"/>
      <c r="E20" s="680"/>
      <c r="F20" s="681"/>
      <c r="G20" s="690"/>
      <c r="H20" s="683"/>
      <c r="I20" s="680"/>
      <c r="J20" s="684"/>
      <c r="K20" s="684"/>
      <c r="L20" s="681"/>
      <c r="M20" s="683"/>
      <c r="N20" s="680"/>
      <c r="O20" s="691"/>
      <c r="P20" s="692"/>
      <c r="Q20" s="693"/>
      <c r="R20" s="683"/>
      <c r="S20" s="680">
        <f t="shared" si="1"/>
        <v>0</v>
      </c>
      <c r="T20" s="680"/>
      <c r="U20" s="680"/>
      <c r="V20" s="694"/>
      <c r="W20" s="638">
        <f t="shared" si="2"/>
        <v>0</v>
      </c>
      <c r="X20" s="643">
        <f t="shared" si="7"/>
        <v>0</v>
      </c>
      <c r="Y20" s="640">
        <f t="shared" si="8"/>
        <v>0</v>
      </c>
      <c r="Z20" s="644">
        <f t="shared" si="9"/>
        <v>0</v>
      </c>
      <c r="AA20" s="641">
        <f t="shared" si="10"/>
        <v>0</v>
      </c>
      <c r="AB20" s="481">
        <f t="shared" si="3"/>
        <v>0</v>
      </c>
      <c r="AC20" s="481">
        <f t="shared" si="4"/>
        <v>0</v>
      </c>
      <c r="AD20" s="713"/>
      <c r="AE20" s="488">
        <f t="shared" si="11"/>
        <v>0</v>
      </c>
      <c r="AF20" s="715"/>
      <c r="AG20" s="681"/>
      <c r="AH20" s="554"/>
      <c r="AI20" s="489">
        <f t="shared" si="5"/>
        <v>0</v>
      </c>
      <c r="AJ20" s="683"/>
      <c r="AK20" s="481">
        <f t="shared" si="12"/>
        <v>0</v>
      </c>
      <c r="AL20" s="696"/>
      <c r="AM20" s="696"/>
      <c r="AN20" s="694"/>
      <c r="AO20" s="683"/>
      <c r="AP20" s="696"/>
      <c r="AQ20" s="481">
        <f t="shared" si="6"/>
        <v>0</v>
      </c>
      <c r="AR20" s="481">
        <f t="shared" si="13"/>
        <v>0</v>
      </c>
      <c r="AS20" s="1053"/>
      <c r="AT20" s="481">
        <f t="shared" si="14"/>
        <v>0</v>
      </c>
      <c r="AU20" s="481">
        <f t="shared" si="15"/>
        <v>0</v>
      </c>
      <c r="AV20" s="680"/>
      <c r="AW20" s="680"/>
      <c r="AX20" s="681"/>
    </row>
    <row r="21" spans="1:50" ht="15.75" x14ac:dyDescent="0.3">
      <c r="A21" s="503">
        <v>9</v>
      </c>
      <c r="B21" s="689"/>
      <c r="C21" s="680"/>
      <c r="D21" s="680"/>
      <c r="E21" s="680"/>
      <c r="F21" s="681"/>
      <c r="G21" s="690"/>
      <c r="H21" s="683"/>
      <c r="I21" s="680"/>
      <c r="J21" s="684"/>
      <c r="K21" s="684"/>
      <c r="L21" s="681"/>
      <c r="M21" s="683"/>
      <c r="N21" s="680"/>
      <c r="O21" s="691"/>
      <c r="P21" s="692"/>
      <c r="Q21" s="693"/>
      <c r="R21" s="683"/>
      <c r="S21" s="680">
        <f t="shared" si="1"/>
        <v>0</v>
      </c>
      <c r="T21" s="680"/>
      <c r="U21" s="680"/>
      <c r="V21" s="694"/>
      <c r="W21" s="638">
        <f t="shared" si="2"/>
        <v>0</v>
      </c>
      <c r="X21" s="643">
        <f t="shared" si="7"/>
        <v>0</v>
      </c>
      <c r="Y21" s="640">
        <f t="shared" si="8"/>
        <v>0</v>
      </c>
      <c r="Z21" s="644">
        <f t="shared" si="9"/>
        <v>0</v>
      </c>
      <c r="AA21" s="641">
        <f t="shared" si="10"/>
        <v>0</v>
      </c>
      <c r="AB21" s="481">
        <f t="shared" si="3"/>
        <v>0</v>
      </c>
      <c r="AC21" s="481">
        <f t="shared" si="4"/>
        <v>0</v>
      </c>
      <c r="AD21" s="712"/>
      <c r="AE21" s="488">
        <f t="shared" si="11"/>
        <v>0</v>
      </c>
      <c r="AF21" s="715"/>
      <c r="AG21" s="681"/>
      <c r="AH21" s="554"/>
      <c r="AI21" s="489">
        <f t="shared" si="5"/>
        <v>0</v>
      </c>
      <c r="AJ21" s="683"/>
      <c r="AK21" s="481">
        <f t="shared" si="12"/>
        <v>0</v>
      </c>
      <c r="AL21" s="696"/>
      <c r="AM21" s="696"/>
      <c r="AN21" s="694"/>
      <c r="AO21" s="683"/>
      <c r="AP21" s="696"/>
      <c r="AQ21" s="481">
        <f t="shared" si="6"/>
        <v>0</v>
      </c>
      <c r="AR21" s="481">
        <f t="shared" si="13"/>
        <v>0</v>
      </c>
      <c r="AS21" s="1053"/>
      <c r="AT21" s="481">
        <f t="shared" si="14"/>
        <v>0</v>
      </c>
      <c r="AU21" s="481">
        <f t="shared" si="15"/>
        <v>0</v>
      </c>
      <c r="AV21" s="680"/>
      <c r="AW21" s="680"/>
      <c r="AX21" s="681"/>
    </row>
    <row r="22" spans="1:50" ht="15.75" x14ac:dyDescent="0.3">
      <c r="A22" s="503">
        <v>10</v>
      </c>
      <c r="B22" s="689"/>
      <c r="C22" s="680"/>
      <c r="D22" s="680"/>
      <c r="E22" s="680"/>
      <c r="F22" s="681"/>
      <c r="G22" s="690"/>
      <c r="H22" s="683"/>
      <c r="I22" s="680"/>
      <c r="J22" s="684"/>
      <c r="K22" s="684"/>
      <c r="L22" s="681"/>
      <c r="M22" s="683"/>
      <c r="N22" s="680"/>
      <c r="O22" s="691"/>
      <c r="P22" s="692"/>
      <c r="Q22" s="693"/>
      <c r="R22" s="683"/>
      <c r="S22" s="680">
        <f t="shared" si="1"/>
        <v>0</v>
      </c>
      <c r="T22" s="680"/>
      <c r="U22" s="680"/>
      <c r="V22" s="694"/>
      <c r="W22" s="638">
        <f t="shared" si="2"/>
        <v>0</v>
      </c>
      <c r="X22" s="643">
        <f t="shared" si="7"/>
        <v>0</v>
      </c>
      <c r="Y22" s="640">
        <f t="shared" si="8"/>
        <v>0</v>
      </c>
      <c r="Z22" s="644">
        <f t="shared" si="9"/>
        <v>0</v>
      </c>
      <c r="AA22" s="641">
        <f t="shared" si="10"/>
        <v>0</v>
      </c>
      <c r="AB22" s="481">
        <f t="shared" si="3"/>
        <v>0</v>
      </c>
      <c r="AC22" s="481">
        <f t="shared" si="4"/>
        <v>0</v>
      </c>
      <c r="AD22" s="712"/>
      <c r="AE22" s="488">
        <f t="shared" si="11"/>
        <v>0</v>
      </c>
      <c r="AF22" s="715"/>
      <c r="AG22" s="681"/>
      <c r="AH22" s="554"/>
      <c r="AI22" s="489">
        <f t="shared" si="5"/>
        <v>0</v>
      </c>
      <c r="AJ22" s="683"/>
      <c r="AK22" s="481">
        <f t="shared" si="12"/>
        <v>0</v>
      </c>
      <c r="AL22" s="696"/>
      <c r="AM22" s="696"/>
      <c r="AN22" s="694"/>
      <c r="AO22" s="683"/>
      <c r="AP22" s="696"/>
      <c r="AQ22" s="481">
        <f t="shared" si="6"/>
        <v>0</v>
      </c>
      <c r="AR22" s="481">
        <f t="shared" si="13"/>
        <v>0</v>
      </c>
      <c r="AS22" s="1053"/>
      <c r="AT22" s="481">
        <f t="shared" si="14"/>
        <v>0</v>
      </c>
      <c r="AU22" s="481">
        <f t="shared" si="15"/>
        <v>0</v>
      </c>
      <c r="AV22" s="680"/>
      <c r="AW22" s="680"/>
      <c r="AX22" s="681"/>
    </row>
    <row r="23" spans="1:50" ht="15.75" x14ac:dyDescent="0.3">
      <c r="A23" s="503">
        <v>11</v>
      </c>
      <c r="B23" s="689"/>
      <c r="C23" s="680"/>
      <c r="D23" s="680"/>
      <c r="E23" s="680"/>
      <c r="F23" s="681"/>
      <c r="G23" s="690"/>
      <c r="H23" s="683"/>
      <c r="I23" s="680"/>
      <c r="J23" s="684"/>
      <c r="K23" s="684"/>
      <c r="L23" s="681"/>
      <c r="M23" s="683"/>
      <c r="N23" s="680"/>
      <c r="O23" s="691"/>
      <c r="P23" s="692"/>
      <c r="Q23" s="693"/>
      <c r="R23" s="683"/>
      <c r="S23" s="680">
        <f t="shared" si="1"/>
        <v>0</v>
      </c>
      <c r="T23" s="680"/>
      <c r="U23" s="680"/>
      <c r="V23" s="694"/>
      <c r="W23" s="638">
        <f t="shared" si="2"/>
        <v>0</v>
      </c>
      <c r="X23" s="643">
        <f t="shared" si="7"/>
        <v>0</v>
      </c>
      <c r="Y23" s="640">
        <f t="shared" si="8"/>
        <v>0</v>
      </c>
      <c r="Z23" s="644">
        <f t="shared" si="9"/>
        <v>0</v>
      </c>
      <c r="AA23" s="641">
        <f t="shared" si="10"/>
        <v>0</v>
      </c>
      <c r="AB23" s="481">
        <f t="shared" si="3"/>
        <v>0</v>
      </c>
      <c r="AC23" s="481">
        <f t="shared" si="4"/>
        <v>0</v>
      </c>
      <c r="AD23" s="712"/>
      <c r="AE23" s="488">
        <f t="shared" si="11"/>
        <v>0</v>
      </c>
      <c r="AF23" s="715"/>
      <c r="AG23" s="681"/>
      <c r="AH23" s="554"/>
      <c r="AI23" s="489">
        <f t="shared" si="5"/>
        <v>0</v>
      </c>
      <c r="AJ23" s="683"/>
      <c r="AK23" s="481">
        <f t="shared" si="12"/>
        <v>0</v>
      </c>
      <c r="AL23" s="696"/>
      <c r="AM23" s="696"/>
      <c r="AN23" s="694"/>
      <c r="AO23" s="683"/>
      <c r="AP23" s="696"/>
      <c r="AQ23" s="481">
        <f t="shared" si="6"/>
        <v>0</v>
      </c>
      <c r="AR23" s="481">
        <f t="shared" si="13"/>
        <v>0</v>
      </c>
      <c r="AS23" s="1053"/>
      <c r="AT23" s="481">
        <f t="shared" si="14"/>
        <v>0</v>
      </c>
      <c r="AU23" s="481">
        <f t="shared" si="15"/>
        <v>0</v>
      </c>
      <c r="AV23" s="680"/>
      <c r="AW23" s="680"/>
      <c r="AX23" s="681"/>
    </row>
    <row r="24" spans="1:50" ht="15.75" x14ac:dyDescent="0.3">
      <c r="A24" s="503">
        <v>12</v>
      </c>
      <c r="B24" s="689"/>
      <c r="C24" s="680"/>
      <c r="D24" s="680"/>
      <c r="E24" s="680"/>
      <c r="F24" s="681"/>
      <c r="G24" s="695"/>
      <c r="H24" s="683"/>
      <c r="I24" s="680"/>
      <c r="J24" s="696"/>
      <c r="K24" s="696"/>
      <c r="L24" s="694"/>
      <c r="M24" s="554"/>
      <c r="N24" s="680"/>
      <c r="O24" s="691"/>
      <c r="P24" s="692"/>
      <c r="Q24" s="693"/>
      <c r="R24" s="683"/>
      <c r="S24" s="680">
        <f t="shared" si="1"/>
        <v>0</v>
      </c>
      <c r="T24" s="680"/>
      <c r="U24" s="680"/>
      <c r="V24" s="694"/>
      <c r="W24" s="638">
        <f t="shared" si="2"/>
        <v>0</v>
      </c>
      <c r="X24" s="643">
        <f t="shared" si="7"/>
        <v>0</v>
      </c>
      <c r="Y24" s="640">
        <f t="shared" si="8"/>
        <v>0</v>
      </c>
      <c r="Z24" s="644">
        <f t="shared" si="9"/>
        <v>0</v>
      </c>
      <c r="AA24" s="641">
        <f t="shared" si="10"/>
        <v>0</v>
      </c>
      <c r="AB24" s="481">
        <f t="shared" si="3"/>
        <v>0</v>
      </c>
      <c r="AC24" s="481">
        <f t="shared" si="4"/>
        <v>0</v>
      </c>
      <c r="AD24" s="712"/>
      <c r="AE24" s="488">
        <f t="shared" si="11"/>
        <v>0</v>
      </c>
      <c r="AF24" s="717"/>
      <c r="AG24" s="694"/>
      <c r="AH24" s="554"/>
      <c r="AI24" s="489">
        <f t="shared" si="5"/>
        <v>0</v>
      </c>
      <c r="AJ24" s="554"/>
      <c r="AK24" s="481">
        <f t="shared" si="12"/>
        <v>0</v>
      </c>
      <c r="AL24" s="696"/>
      <c r="AM24" s="696"/>
      <c r="AN24" s="694"/>
      <c r="AO24" s="554"/>
      <c r="AP24" s="696"/>
      <c r="AQ24" s="481">
        <f t="shared" si="6"/>
        <v>0</v>
      </c>
      <c r="AR24" s="481">
        <f t="shared" si="13"/>
        <v>0</v>
      </c>
      <c r="AS24" s="1053"/>
      <c r="AT24" s="481">
        <f t="shared" si="14"/>
        <v>0</v>
      </c>
      <c r="AU24" s="481">
        <f t="shared" si="15"/>
        <v>0</v>
      </c>
      <c r="AV24" s="696"/>
      <c r="AW24" s="696"/>
      <c r="AX24" s="694"/>
    </row>
    <row r="25" spans="1:50" s="95" customFormat="1" ht="16.5" thickBot="1" x14ac:dyDescent="0.35">
      <c r="A25" s="512" t="s">
        <v>627</v>
      </c>
      <c r="B25" s="697"/>
      <c r="C25" s="698"/>
      <c r="D25" s="698"/>
      <c r="E25" s="698"/>
      <c r="F25" s="699"/>
      <c r="G25" s="700"/>
      <c r="H25" s="701"/>
      <c r="I25" s="680"/>
      <c r="J25" s="702"/>
      <c r="K25" s="703"/>
      <c r="L25" s="704"/>
      <c r="M25" s="705"/>
      <c r="N25" s="706"/>
      <c r="O25" s="706"/>
      <c r="P25" s="704"/>
      <c r="Q25" s="707"/>
      <c r="R25" s="683"/>
      <c r="S25" s="680">
        <f t="shared" si="1"/>
        <v>0</v>
      </c>
      <c r="T25" s="680"/>
      <c r="U25" s="680"/>
      <c r="V25" s="708"/>
      <c r="W25" s="645">
        <f t="shared" si="2"/>
        <v>0</v>
      </c>
      <c r="X25" s="646">
        <f t="shared" si="7"/>
        <v>0</v>
      </c>
      <c r="Y25" s="647">
        <f>E25-K25-O25-T25</f>
        <v>0</v>
      </c>
      <c r="Z25" s="648">
        <f t="shared" si="9"/>
        <v>0</v>
      </c>
      <c r="AA25" s="641">
        <f>W25+X25+Y25+Z25</f>
        <v>0</v>
      </c>
      <c r="AB25" s="649">
        <f t="shared" si="3"/>
        <v>0</v>
      </c>
      <c r="AC25" s="650">
        <f>IF(AA25&gt;0,0.7*T$4*W$4/W$6*720*8/8760,0)</f>
        <v>0</v>
      </c>
      <c r="AD25" s="714"/>
      <c r="AE25" s="651">
        <f t="shared" si="11"/>
        <v>0</v>
      </c>
      <c r="AF25" s="718"/>
      <c r="AG25" s="719"/>
      <c r="AH25" s="720"/>
      <c r="AI25" s="652">
        <f t="shared" ref="AI25:AI53" si="16">R25+S25+T25+U25-V25+AH25</f>
        <v>0</v>
      </c>
      <c r="AJ25" s="721"/>
      <c r="AK25" s="481">
        <f t="shared" si="12"/>
        <v>0</v>
      </c>
      <c r="AL25" s="722"/>
      <c r="AM25" s="722"/>
      <c r="AN25" s="723"/>
      <c r="AO25" s="554"/>
      <c r="AP25" s="698"/>
      <c r="AQ25" s="650">
        <f t="shared" si="6"/>
        <v>0</v>
      </c>
      <c r="AR25" s="650">
        <f t="shared" si="13"/>
        <v>0</v>
      </c>
      <c r="AS25" s="1054"/>
      <c r="AT25" s="650">
        <f t="shared" si="14"/>
        <v>0</v>
      </c>
      <c r="AU25" s="650">
        <f t="shared" si="15"/>
        <v>0</v>
      </c>
      <c r="AV25" s="551"/>
      <c r="AW25" s="698"/>
      <c r="AX25" s="699"/>
    </row>
    <row r="26" spans="1:50" s="114" customFormat="1" ht="16.5" thickBot="1" x14ac:dyDescent="0.35">
      <c r="A26" s="556" t="s">
        <v>628</v>
      </c>
      <c r="B26" s="653">
        <f t="shared" ref="B26:AC26" si="17">IF(B25&gt;0,B25,SUM(B13:B24))</f>
        <v>0</v>
      </c>
      <c r="C26" s="653">
        <f t="shared" si="17"/>
        <v>0</v>
      </c>
      <c r="D26" s="653">
        <f t="shared" si="17"/>
        <v>0</v>
      </c>
      <c r="E26" s="653">
        <f t="shared" si="17"/>
        <v>0</v>
      </c>
      <c r="F26" s="654">
        <f t="shared" si="17"/>
        <v>0</v>
      </c>
      <c r="G26" s="654">
        <f t="shared" si="17"/>
        <v>0</v>
      </c>
      <c r="H26" s="655">
        <f t="shared" si="17"/>
        <v>0</v>
      </c>
      <c r="I26" s="653">
        <f t="shared" si="17"/>
        <v>0</v>
      </c>
      <c r="J26" s="653">
        <f t="shared" si="17"/>
        <v>0</v>
      </c>
      <c r="K26" s="653">
        <f t="shared" si="17"/>
        <v>0</v>
      </c>
      <c r="L26" s="654">
        <f t="shared" si="17"/>
        <v>0</v>
      </c>
      <c r="M26" s="655">
        <f t="shared" si="17"/>
        <v>0</v>
      </c>
      <c r="N26" s="655">
        <f t="shared" si="17"/>
        <v>0</v>
      </c>
      <c r="O26" s="655">
        <f t="shared" si="17"/>
        <v>0</v>
      </c>
      <c r="P26" s="654">
        <f t="shared" si="17"/>
        <v>0</v>
      </c>
      <c r="Q26" s="656">
        <f>IF(Q25&gt;0,Q25,SUM(Q13:Q24))</f>
        <v>0</v>
      </c>
      <c r="R26" s="655">
        <f t="shared" si="17"/>
        <v>0</v>
      </c>
      <c r="S26" s="655">
        <f t="shared" si="17"/>
        <v>0</v>
      </c>
      <c r="T26" s="655">
        <f t="shared" si="17"/>
        <v>0</v>
      </c>
      <c r="U26" s="655">
        <f t="shared" si="17"/>
        <v>0</v>
      </c>
      <c r="V26" s="654">
        <f t="shared" si="17"/>
        <v>0</v>
      </c>
      <c r="W26" s="655">
        <f t="shared" si="17"/>
        <v>0</v>
      </c>
      <c r="X26" s="655">
        <f t="shared" si="17"/>
        <v>0</v>
      </c>
      <c r="Y26" s="655">
        <f t="shared" si="17"/>
        <v>0</v>
      </c>
      <c r="Z26" s="654">
        <f t="shared" si="17"/>
        <v>0</v>
      </c>
      <c r="AA26" s="655">
        <f t="shared" si="17"/>
        <v>0</v>
      </c>
      <c r="AB26" s="653">
        <f t="shared" si="17"/>
        <v>0</v>
      </c>
      <c r="AC26" s="653">
        <f t="shared" si="17"/>
        <v>0</v>
      </c>
      <c r="AD26" s="1048" t="str">
        <f>IF(AD25&gt;0,AD25,"-")</f>
        <v>-</v>
      </c>
      <c r="AE26" s="657">
        <f t="shared" ref="AE26:AK26" si="18">IF(AE25&gt;0,AE25,SUM(AE13:AE24))</f>
        <v>0</v>
      </c>
      <c r="AF26" s="653">
        <f t="shared" si="18"/>
        <v>0</v>
      </c>
      <c r="AG26" s="654">
        <f t="shared" si="18"/>
        <v>0</v>
      </c>
      <c r="AH26" s="655">
        <f t="shared" si="18"/>
        <v>0</v>
      </c>
      <c r="AI26" s="656">
        <f t="shared" si="18"/>
        <v>0</v>
      </c>
      <c r="AJ26" s="520">
        <f t="shared" si="18"/>
        <v>0</v>
      </c>
      <c r="AK26" s="520">
        <f t="shared" si="18"/>
        <v>0</v>
      </c>
      <c r="AL26" s="658">
        <f t="shared" ref="AL26:AR26" si="19">IF(AL25&gt;0,AL25,SUM(AL13:AL24))</f>
        <v>0</v>
      </c>
      <c r="AM26" s="658">
        <f t="shared" si="19"/>
        <v>0</v>
      </c>
      <c r="AN26" s="659">
        <f t="shared" si="19"/>
        <v>0</v>
      </c>
      <c r="AO26" s="520">
        <f t="shared" si="19"/>
        <v>0</v>
      </c>
      <c r="AP26" s="658">
        <f t="shared" si="19"/>
        <v>0</v>
      </c>
      <c r="AQ26" s="658">
        <f t="shared" si="19"/>
        <v>0</v>
      </c>
      <c r="AR26" s="658">
        <f t="shared" si="19"/>
        <v>0</v>
      </c>
      <c r="AS26" s="1055" t="str">
        <f>IF(AS25&gt;0,AS25,"-")</f>
        <v>-</v>
      </c>
      <c r="AT26" s="658">
        <f>IF(AT25&gt;0,AT25,SUM(AT13:AT24))</f>
        <v>0</v>
      </c>
      <c r="AU26" s="658">
        <f>IF(AU25&gt;0,AU25,SUM(AU13:AU24))</f>
        <v>0</v>
      </c>
      <c r="AV26" s="658">
        <f>IF(AV25&gt;0,AV25,SUM(AV13:AV24))</f>
        <v>0</v>
      </c>
      <c r="AW26" s="658">
        <f>IF(AW25&gt;0,AW25,SUM(AW13:AW24))</f>
        <v>0</v>
      </c>
      <c r="AX26" s="659">
        <f>IF(AX25&gt;0,AX25,SUM(AX13:AX24))</f>
        <v>0</v>
      </c>
    </row>
    <row r="27" spans="1:50" ht="15.75" x14ac:dyDescent="0.3">
      <c r="A27" s="660">
        <v>13</v>
      </c>
      <c r="B27" s="724"/>
      <c r="C27" s="680"/>
      <c r="D27" s="680"/>
      <c r="E27" s="680"/>
      <c r="F27" s="681"/>
      <c r="G27" s="692"/>
      <c r="H27" s="683"/>
      <c r="I27" s="724"/>
      <c r="J27" s="724"/>
      <c r="K27" s="724"/>
      <c r="L27" s="688"/>
      <c r="M27" s="716"/>
      <c r="N27" s="680"/>
      <c r="O27" s="680"/>
      <c r="P27" s="681"/>
      <c r="Q27" s="692"/>
      <c r="R27" s="683"/>
      <c r="S27" s="680">
        <f t="shared" si="1"/>
        <v>0</v>
      </c>
      <c r="T27" s="680"/>
      <c r="U27" s="680"/>
      <c r="V27" s="681"/>
      <c r="W27" s="1073">
        <f t="shared" ref="W27:W39" si="20">B27-H27-M27-R27</f>
        <v>0</v>
      </c>
      <c r="X27" s="1074">
        <f t="shared" si="7"/>
        <v>0</v>
      </c>
      <c r="Y27" s="1064">
        <f t="shared" ref="Y27:Y39" si="21">E27-K27-O27-T27</f>
        <v>0</v>
      </c>
      <c r="Z27" s="482">
        <f t="shared" ref="Z27:Z39" si="22">F27-L27-P27-U27</f>
        <v>0</v>
      </c>
      <c r="AA27" s="530">
        <f t="shared" ref="AA27:AA39" si="23">W27+X27+Y27+Z27</f>
        <v>0</v>
      </c>
      <c r="AB27" s="1064">
        <f t="shared" ref="AB27:AB39" si="24">IF(AA27&gt;0,-0.05*AA27*T$5,0)</f>
        <v>0</v>
      </c>
      <c r="AC27" s="1064">
        <f t="shared" ref="AC27:AC38" si="25">IF(AA27&gt;0,0.7*T$6*W$4/W$6*720/8760,0)</f>
        <v>0</v>
      </c>
      <c r="AD27" s="1049"/>
      <c r="AE27" s="1064">
        <f>IF(AD27=0,0,(AA27+AB27+AC27)/AD27)</f>
        <v>0</v>
      </c>
      <c r="AF27" s="1065"/>
      <c r="AG27" s="688"/>
      <c r="AH27" s="683"/>
      <c r="AI27" s="644">
        <f t="shared" si="16"/>
        <v>0</v>
      </c>
      <c r="AJ27" s="683"/>
      <c r="AK27" s="481">
        <f t="shared" ref="AK27:AK39" si="26">C27-I27-N27-S27-X27+AJ27</f>
        <v>0</v>
      </c>
      <c r="AL27" s="680"/>
      <c r="AM27" s="680"/>
      <c r="AN27" s="681"/>
      <c r="AO27" s="683"/>
      <c r="AP27" s="680"/>
      <c r="AQ27" s="481">
        <f t="shared" ref="AQ27:AQ39" si="27">D27-J27</f>
        <v>0</v>
      </c>
      <c r="AR27" s="481">
        <f>AO27-AP27</f>
        <v>0</v>
      </c>
      <c r="AS27" s="1056"/>
      <c r="AT27" s="481">
        <f>IF(AS27&gt;0,AQ27/AS27,0)</f>
        <v>0</v>
      </c>
      <c r="AU27" s="481">
        <f>IF(AS27&gt;0,AR27/AS27,0)</f>
        <v>0</v>
      </c>
      <c r="AV27" s="680"/>
      <c r="AW27" s="680"/>
      <c r="AX27" s="681"/>
    </row>
    <row r="28" spans="1:50" ht="15.75" x14ac:dyDescent="0.3">
      <c r="A28" s="503">
        <v>14</v>
      </c>
      <c r="B28" s="696"/>
      <c r="C28" s="696"/>
      <c r="D28" s="696"/>
      <c r="E28" s="696"/>
      <c r="F28" s="694"/>
      <c r="G28" s="1075"/>
      <c r="H28" s="554"/>
      <c r="I28" s="680"/>
      <c r="J28" s="680"/>
      <c r="K28" s="680"/>
      <c r="L28" s="681"/>
      <c r="M28" s="683"/>
      <c r="N28" s="680"/>
      <c r="O28" s="680"/>
      <c r="P28" s="681"/>
      <c r="Q28" s="692"/>
      <c r="R28" s="554"/>
      <c r="S28" s="680">
        <f t="shared" si="1"/>
        <v>0</v>
      </c>
      <c r="T28" s="680"/>
      <c r="U28" s="680"/>
      <c r="V28" s="694"/>
      <c r="W28" s="794">
        <f t="shared" si="20"/>
        <v>0</v>
      </c>
      <c r="X28" s="1076">
        <f t="shared" si="7"/>
        <v>0</v>
      </c>
      <c r="Y28" s="488">
        <f t="shared" si="21"/>
        <v>0</v>
      </c>
      <c r="Z28" s="489">
        <f t="shared" si="22"/>
        <v>0</v>
      </c>
      <c r="AA28" s="530">
        <f t="shared" si="23"/>
        <v>0</v>
      </c>
      <c r="AB28" s="488">
        <f t="shared" si="24"/>
        <v>0</v>
      </c>
      <c r="AC28" s="488">
        <f t="shared" si="25"/>
        <v>0</v>
      </c>
      <c r="AD28" s="725"/>
      <c r="AE28" s="488">
        <f t="shared" ref="AE28:AE39" si="28">IF(AD28=0,0,(AA28+AB28+AC28)/AD28)</f>
        <v>0</v>
      </c>
      <c r="AF28" s="715"/>
      <c r="AG28" s="681"/>
      <c r="AH28" s="683"/>
      <c r="AI28" s="644">
        <f t="shared" si="16"/>
        <v>0</v>
      </c>
      <c r="AJ28" s="683"/>
      <c r="AK28" s="481">
        <f t="shared" si="26"/>
        <v>0</v>
      </c>
      <c r="AL28" s="696"/>
      <c r="AM28" s="696"/>
      <c r="AN28" s="694"/>
      <c r="AO28" s="683"/>
      <c r="AP28" s="696"/>
      <c r="AQ28" s="481">
        <f t="shared" si="27"/>
        <v>0</v>
      </c>
      <c r="AR28" s="481">
        <f t="shared" ref="AR28:AR39" si="29">AO28-AP28</f>
        <v>0</v>
      </c>
      <c r="AS28" s="1053"/>
      <c r="AT28" s="481">
        <f t="shared" ref="AT28:AT39" si="30">IF(AS28&gt;0,AQ28/AS28,0)</f>
        <v>0</v>
      </c>
      <c r="AU28" s="481">
        <f t="shared" ref="AU28:AU39" si="31">IF(AS28&gt;0,AR28/AS28,0)</f>
        <v>0</v>
      </c>
      <c r="AV28" s="680"/>
      <c r="AW28" s="680"/>
      <c r="AX28" s="681"/>
    </row>
    <row r="29" spans="1:50" ht="15.75" x14ac:dyDescent="0.3">
      <c r="A29" s="503">
        <v>15</v>
      </c>
      <c r="B29" s="696"/>
      <c r="C29" s="696"/>
      <c r="D29" s="696"/>
      <c r="E29" s="696"/>
      <c r="F29" s="694"/>
      <c r="G29" s="1075"/>
      <c r="H29" s="554"/>
      <c r="I29" s="680"/>
      <c r="J29" s="680"/>
      <c r="K29" s="680"/>
      <c r="L29" s="681"/>
      <c r="M29" s="683"/>
      <c r="N29" s="680"/>
      <c r="O29" s="680"/>
      <c r="P29" s="681"/>
      <c r="Q29" s="692"/>
      <c r="R29" s="554"/>
      <c r="S29" s="680">
        <f t="shared" si="1"/>
        <v>0</v>
      </c>
      <c r="T29" s="680"/>
      <c r="U29" s="680"/>
      <c r="V29" s="694"/>
      <c r="W29" s="794">
        <f t="shared" si="20"/>
        <v>0</v>
      </c>
      <c r="X29" s="1076">
        <f t="shared" si="7"/>
        <v>0</v>
      </c>
      <c r="Y29" s="488">
        <f t="shared" si="21"/>
        <v>0</v>
      </c>
      <c r="Z29" s="489">
        <f t="shared" si="22"/>
        <v>0</v>
      </c>
      <c r="AA29" s="530">
        <f t="shared" si="23"/>
        <v>0</v>
      </c>
      <c r="AB29" s="488">
        <f t="shared" si="24"/>
        <v>0</v>
      </c>
      <c r="AC29" s="488">
        <f t="shared" si="25"/>
        <v>0</v>
      </c>
      <c r="AD29" s="725"/>
      <c r="AE29" s="488">
        <f t="shared" si="28"/>
        <v>0</v>
      </c>
      <c r="AF29" s="715"/>
      <c r="AG29" s="681"/>
      <c r="AH29" s="683"/>
      <c r="AI29" s="644">
        <f t="shared" si="16"/>
        <v>0</v>
      </c>
      <c r="AJ29" s="683"/>
      <c r="AK29" s="481">
        <f t="shared" si="26"/>
        <v>0</v>
      </c>
      <c r="AL29" s="696"/>
      <c r="AM29" s="696"/>
      <c r="AN29" s="694"/>
      <c r="AO29" s="683"/>
      <c r="AP29" s="696"/>
      <c r="AQ29" s="481">
        <f t="shared" si="27"/>
        <v>0</v>
      </c>
      <c r="AR29" s="481">
        <f t="shared" si="29"/>
        <v>0</v>
      </c>
      <c r="AS29" s="1053"/>
      <c r="AT29" s="481">
        <f t="shared" si="30"/>
        <v>0</v>
      </c>
      <c r="AU29" s="481">
        <f t="shared" si="31"/>
        <v>0</v>
      </c>
      <c r="AV29" s="680"/>
      <c r="AW29" s="680"/>
      <c r="AX29" s="681"/>
    </row>
    <row r="30" spans="1:50" ht="15.75" x14ac:dyDescent="0.3">
      <c r="A30" s="503">
        <v>16</v>
      </c>
      <c r="B30" s="696"/>
      <c r="C30" s="696"/>
      <c r="D30" s="696"/>
      <c r="E30" s="696"/>
      <c r="F30" s="694"/>
      <c r="G30" s="1075"/>
      <c r="H30" s="554"/>
      <c r="I30" s="680"/>
      <c r="J30" s="680"/>
      <c r="K30" s="680"/>
      <c r="L30" s="681"/>
      <c r="M30" s="683"/>
      <c r="N30" s="680"/>
      <c r="O30" s="680"/>
      <c r="P30" s="681"/>
      <c r="Q30" s="692"/>
      <c r="R30" s="554"/>
      <c r="S30" s="680">
        <f t="shared" si="1"/>
        <v>0</v>
      </c>
      <c r="T30" s="680"/>
      <c r="U30" s="680"/>
      <c r="V30" s="694"/>
      <c r="W30" s="794">
        <f t="shared" si="20"/>
        <v>0</v>
      </c>
      <c r="X30" s="1076">
        <f t="shared" si="7"/>
        <v>0</v>
      </c>
      <c r="Y30" s="488">
        <f t="shared" si="21"/>
        <v>0</v>
      </c>
      <c r="Z30" s="489">
        <f t="shared" si="22"/>
        <v>0</v>
      </c>
      <c r="AA30" s="530">
        <f t="shared" si="23"/>
        <v>0</v>
      </c>
      <c r="AB30" s="488">
        <f t="shared" si="24"/>
        <v>0</v>
      </c>
      <c r="AC30" s="488">
        <f t="shared" si="25"/>
        <v>0</v>
      </c>
      <c r="AD30" s="725"/>
      <c r="AE30" s="488">
        <f t="shared" si="28"/>
        <v>0</v>
      </c>
      <c r="AF30" s="715"/>
      <c r="AG30" s="681"/>
      <c r="AH30" s="683"/>
      <c r="AI30" s="644">
        <f t="shared" si="16"/>
        <v>0</v>
      </c>
      <c r="AJ30" s="683"/>
      <c r="AK30" s="481">
        <f t="shared" si="26"/>
        <v>0</v>
      </c>
      <c r="AL30" s="696"/>
      <c r="AM30" s="696"/>
      <c r="AN30" s="694"/>
      <c r="AO30" s="683"/>
      <c r="AP30" s="696"/>
      <c r="AQ30" s="481">
        <f t="shared" si="27"/>
        <v>0</v>
      </c>
      <c r="AR30" s="481">
        <f t="shared" si="29"/>
        <v>0</v>
      </c>
      <c r="AS30" s="1053"/>
      <c r="AT30" s="481">
        <f t="shared" si="30"/>
        <v>0</v>
      </c>
      <c r="AU30" s="481">
        <f t="shared" si="31"/>
        <v>0</v>
      </c>
      <c r="AV30" s="680"/>
      <c r="AW30" s="680"/>
      <c r="AX30" s="681"/>
    </row>
    <row r="31" spans="1:50" ht="15.75" x14ac:dyDescent="0.3">
      <c r="A31" s="503">
        <v>17</v>
      </c>
      <c r="B31" s="696"/>
      <c r="C31" s="696"/>
      <c r="D31" s="696"/>
      <c r="E31" s="696"/>
      <c r="F31" s="694"/>
      <c r="G31" s="1075"/>
      <c r="H31" s="554"/>
      <c r="I31" s="680"/>
      <c r="J31" s="680"/>
      <c r="K31" s="680"/>
      <c r="L31" s="681"/>
      <c r="M31" s="683"/>
      <c r="N31" s="680"/>
      <c r="O31" s="680"/>
      <c r="P31" s="681"/>
      <c r="Q31" s="692"/>
      <c r="R31" s="554"/>
      <c r="S31" s="680">
        <f t="shared" si="1"/>
        <v>0</v>
      </c>
      <c r="T31" s="680"/>
      <c r="U31" s="680"/>
      <c r="V31" s="694"/>
      <c r="W31" s="794">
        <f t="shared" si="20"/>
        <v>0</v>
      </c>
      <c r="X31" s="1076">
        <f t="shared" si="7"/>
        <v>0</v>
      </c>
      <c r="Y31" s="488">
        <f t="shared" si="21"/>
        <v>0</v>
      </c>
      <c r="Z31" s="489">
        <f t="shared" si="22"/>
        <v>0</v>
      </c>
      <c r="AA31" s="530">
        <f t="shared" si="23"/>
        <v>0</v>
      </c>
      <c r="AB31" s="488">
        <f t="shared" si="24"/>
        <v>0</v>
      </c>
      <c r="AC31" s="488">
        <f t="shared" si="25"/>
        <v>0</v>
      </c>
      <c r="AD31" s="725"/>
      <c r="AE31" s="488">
        <f t="shared" si="28"/>
        <v>0</v>
      </c>
      <c r="AF31" s="715"/>
      <c r="AG31" s="681"/>
      <c r="AH31" s="683"/>
      <c r="AI31" s="644">
        <f t="shared" si="16"/>
        <v>0</v>
      </c>
      <c r="AJ31" s="683"/>
      <c r="AK31" s="481">
        <f t="shared" si="26"/>
        <v>0</v>
      </c>
      <c r="AL31" s="696"/>
      <c r="AM31" s="696"/>
      <c r="AN31" s="694"/>
      <c r="AO31" s="683"/>
      <c r="AP31" s="696"/>
      <c r="AQ31" s="481">
        <f t="shared" si="27"/>
        <v>0</v>
      </c>
      <c r="AR31" s="481">
        <f t="shared" si="29"/>
        <v>0</v>
      </c>
      <c r="AS31" s="1053"/>
      <c r="AT31" s="481">
        <f t="shared" si="30"/>
        <v>0</v>
      </c>
      <c r="AU31" s="481">
        <f t="shared" si="31"/>
        <v>0</v>
      </c>
      <c r="AV31" s="680"/>
      <c r="AW31" s="680"/>
      <c r="AX31" s="681"/>
    </row>
    <row r="32" spans="1:50" ht="15.75" x14ac:dyDescent="0.3">
      <c r="A32" s="503">
        <v>18</v>
      </c>
      <c r="B32" s="696"/>
      <c r="C32" s="696"/>
      <c r="D32" s="696"/>
      <c r="E32" s="696"/>
      <c r="F32" s="694"/>
      <c r="G32" s="1075"/>
      <c r="H32" s="554"/>
      <c r="I32" s="680"/>
      <c r="J32" s="680"/>
      <c r="K32" s="680"/>
      <c r="L32" s="681"/>
      <c r="M32" s="683"/>
      <c r="N32" s="680"/>
      <c r="O32" s="680"/>
      <c r="P32" s="681"/>
      <c r="Q32" s="692"/>
      <c r="R32" s="554"/>
      <c r="S32" s="680">
        <f t="shared" si="1"/>
        <v>0</v>
      </c>
      <c r="T32" s="680"/>
      <c r="U32" s="680"/>
      <c r="V32" s="694"/>
      <c r="W32" s="794">
        <f t="shared" si="20"/>
        <v>0</v>
      </c>
      <c r="X32" s="1076">
        <f t="shared" si="7"/>
        <v>0</v>
      </c>
      <c r="Y32" s="488">
        <f t="shared" si="21"/>
        <v>0</v>
      </c>
      <c r="Z32" s="489">
        <f t="shared" si="22"/>
        <v>0</v>
      </c>
      <c r="AA32" s="530">
        <f t="shared" si="23"/>
        <v>0</v>
      </c>
      <c r="AB32" s="488">
        <f t="shared" si="24"/>
        <v>0</v>
      </c>
      <c r="AC32" s="488">
        <f t="shared" si="25"/>
        <v>0</v>
      </c>
      <c r="AD32" s="725"/>
      <c r="AE32" s="488">
        <f t="shared" si="28"/>
        <v>0</v>
      </c>
      <c r="AF32" s="715"/>
      <c r="AG32" s="681"/>
      <c r="AH32" s="683"/>
      <c r="AI32" s="644">
        <f t="shared" si="16"/>
        <v>0</v>
      </c>
      <c r="AJ32" s="683"/>
      <c r="AK32" s="481">
        <f t="shared" si="26"/>
        <v>0</v>
      </c>
      <c r="AL32" s="696"/>
      <c r="AM32" s="696"/>
      <c r="AN32" s="694"/>
      <c r="AO32" s="683"/>
      <c r="AP32" s="696"/>
      <c r="AQ32" s="481">
        <f t="shared" si="27"/>
        <v>0</v>
      </c>
      <c r="AR32" s="481">
        <f t="shared" si="29"/>
        <v>0</v>
      </c>
      <c r="AS32" s="1053"/>
      <c r="AT32" s="481">
        <f t="shared" si="30"/>
        <v>0</v>
      </c>
      <c r="AU32" s="481">
        <f t="shared" si="31"/>
        <v>0</v>
      </c>
      <c r="AV32" s="680"/>
      <c r="AW32" s="680"/>
      <c r="AX32" s="681"/>
    </row>
    <row r="33" spans="1:51" ht="15.75" x14ac:dyDescent="0.3">
      <c r="A33" s="503">
        <v>19</v>
      </c>
      <c r="B33" s="696"/>
      <c r="C33" s="696"/>
      <c r="D33" s="696"/>
      <c r="E33" s="696"/>
      <c r="F33" s="694"/>
      <c r="G33" s="1075"/>
      <c r="H33" s="554"/>
      <c r="I33" s="680"/>
      <c r="J33" s="680"/>
      <c r="K33" s="680"/>
      <c r="L33" s="681"/>
      <c r="M33" s="683"/>
      <c r="N33" s="680"/>
      <c r="O33" s="680"/>
      <c r="P33" s="681"/>
      <c r="Q33" s="692"/>
      <c r="R33" s="554"/>
      <c r="S33" s="680">
        <f t="shared" si="1"/>
        <v>0</v>
      </c>
      <c r="T33" s="680"/>
      <c r="U33" s="680"/>
      <c r="V33" s="694"/>
      <c r="W33" s="794">
        <f t="shared" si="20"/>
        <v>0</v>
      </c>
      <c r="X33" s="1076">
        <f t="shared" si="7"/>
        <v>0</v>
      </c>
      <c r="Y33" s="488">
        <f t="shared" si="21"/>
        <v>0</v>
      </c>
      <c r="Z33" s="489">
        <f t="shared" si="22"/>
        <v>0</v>
      </c>
      <c r="AA33" s="530">
        <f t="shared" si="23"/>
        <v>0</v>
      </c>
      <c r="AB33" s="488">
        <f t="shared" si="24"/>
        <v>0</v>
      </c>
      <c r="AC33" s="488">
        <f t="shared" si="25"/>
        <v>0</v>
      </c>
      <c r="AD33" s="725"/>
      <c r="AE33" s="488">
        <f t="shared" si="28"/>
        <v>0</v>
      </c>
      <c r="AF33" s="715"/>
      <c r="AG33" s="681"/>
      <c r="AH33" s="683"/>
      <c r="AI33" s="644">
        <f t="shared" si="16"/>
        <v>0</v>
      </c>
      <c r="AJ33" s="683"/>
      <c r="AK33" s="481">
        <f t="shared" si="26"/>
        <v>0</v>
      </c>
      <c r="AL33" s="696"/>
      <c r="AM33" s="696"/>
      <c r="AN33" s="694"/>
      <c r="AO33" s="683"/>
      <c r="AP33" s="696"/>
      <c r="AQ33" s="481">
        <f t="shared" si="27"/>
        <v>0</v>
      </c>
      <c r="AR33" s="481">
        <f t="shared" si="29"/>
        <v>0</v>
      </c>
      <c r="AS33" s="1053"/>
      <c r="AT33" s="481">
        <f t="shared" si="30"/>
        <v>0</v>
      </c>
      <c r="AU33" s="481">
        <f t="shared" si="31"/>
        <v>0</v>
      </c>
      <c r="AV33" s="680"/>
      <c r="AW33" s="680"/>
      <c r="AX33" s="681"/>
    </row>
    <row r="34" spans="1:51" ht="15.75" x14ac:dyDescent="0.3">
      <c r="A34" s="503">
        <v>20</v>
      </c>
      <c r="B34" s="696"/>
      <c r="C34" s="696"/>
      <c r="D34" s="696"/>
      <c r="E34" s="696"/>
      <c r="F34" s="694"/>
      <c r="G34" s="1075"/>
      <c r="H34" s="554"/>
      <c r="I34" s="680"/>
      <c r="J34" s="680"/>
      <c r="K34" s="680"/>
      <c r="L34" s="681"/>
      <c r="M34" s="683"/>
      <c r="N34" s="680"/>
      <c r="O34" s="680"/>
      <c r="P34" s="681"/>
      <c r="Q34" s="692"/>
      <c r="R34" s="554"/>
      <c r="S34" s="680">
        <f t="shared" si="1"/>
        <v>0</v>
      </c>
      <c r="T34" s="680"/>
      <c r="U34" s="680"/>
      <c r="V34" s="694"/>
      <c r="W34" s="794">
        <f t="shared" si="20"/>
        <v>0</v>
      </c>
      <c r="X34" s="1076">
        <f t="shared" si="7"/>
        <v>0</v>
      </c>
      <c r="Y34" s="488">
        <f t="shared" si="21"/>
        <v>0</v>
      </c>
      <c r="Z34" s="489">
        <f t="shared" si="22"/>
        <v>0</v>
      </c>
      <c r="AA34" s="530">
        <f t="shared" si="23"/>
        <v>0</v>
      </c>
      <c r="AB34" s="488">
        <f t="shared" si="24"/>
        <v>0</v>
      </c>
      <c r="AC34" s="488">
        <f t="shared" si="25"/>
        <v>0</v>
      </c>
      <c r="AD34" s="725"/>
      <c r="AE34" s="488">
        <f t="shared" si="28"/>
        <v>0</v>
      </c>
      <c r="AF34" s="715"/>
      <c r="AG34" s="681"/>
      <c r="AH34" s="683"/>
      <c r="AI34" s="644">
        <f t="shared" si="16"/>
        <v>0</v>
      </c>
      <c r="AJ34" s="683"/>
      <c r="AK34" s="481">
        <f t="shared" si="26"/>
        <v>0</v>
      </c>
      <c r="AL34" s="696"/>
      <c r="AM34" s="696"/>
      <c r="AN34" s="694"/>
      <c r="AO34" s="683"/>
      <c r="AP34" s="696"/>
      <c r="AQ34" s="481">
        <f t="shared" si="27"/>
        <v>0</v>
      </c>
      <c r="AR34" s="481">
        <f t="shared" si="29"/>
        <v>0</v>
      </c>
      <c r="AS34" s="1053"/>
      <c r="AT34" s="481">
        <f t="shared" si="30"/>
        <v>0</v>
      </c>
      <c r="AU34" s="481">
        <f t="shared" si="31"/>
        <v>0</v>
      </c>
      <c r="AV34" s="680"/>
      <c r="AW34" s="680"/>
      <c r="AX34" s="681"/>
    </row>
    <row r="35" spans="1:51" ht="15.75" x14ac:dyDescent="0.3">
      <c r="A35" s="503">
        <v>21</v>
      </c>
      <c r="B35" s="696"/>
      <c r="C35" s="696"/>
      <c r="D35" s="696"/>
      <c r="E35" s="696"/>
      <c r="F35" s="694"/>
      <c r="G35" s="1075"/>
      <c r="H35" s="554"/>
      <c r="I35" s="680"/>
      <c r="J35" s="680"/>
      <c r="K35" s="680"/>
      <c r="L35" s="681"/>
      <c r="M35" s="683"/>
      <c r="N35" s="680"/>
      <c r="O35" s="680"/>
      <c r="P35" s="681"/>
      <c r="Q35" s="692"/>
      <c r="R35" s="554"/>
      <c r="S35" s="680">
        <f t="shared" si="1"/>
        <v>0</v>
      </c>
      <c r="T35" s="680"/>
      <c r="U35" s="680"/>
      <c r="V35" s="694"/>
      <c r="W35" s="794">
        <f t="shared" si="20"/>
        <v>0</v>
      </c>
      <c r="X35" s="1076">
        <f t="shared" si="7"/>
        <v>0</v>
      </c>
      <c r="Y35" s="488">
        <f t="shared" si="21"/>
        <v>0</v>
      </c>
      <c r="Z35" s="489">
        <f t="shared" si="22"/>
        <v>0</v>
      </c>
      <c r="AA35" s="530">
        <f t="shared" si="23"/>
        <v>0</v>
      </c>
      <c r="AB35" s="488">
        <f t="shared" si="24"/>
        <v>0</v>
      </c>
      <c r="AC35" s="488">
        <f t="shared" si="25"/>
        <v>0</v>
      </c>
      <c r="AD35" s="725"/>
      <c r="AE35" s="488">
        <f t="shared" si="28"/>
        <v>0</v>
      </c>
      <c r="AF35" s="715"/>
      <c r="AG35" s="681"/>
      <c r="AH35" s="683"/>
      <c r="AI35" s="644">
        <f t="shared" si="16"/>
        <v>0</v>
      </c>
      <c r="AJ35" s="683"/>
      <c r="AK35" s="481">
        <f t="shared" si="26"/>
        <v>0</v>
      </c>
      <c r="AL35" s="696"/>
      <c r="AM35" s="696"/>
      <c r="AN35" s="694"/>
      <c r="AO35" s="683"/>
      <c r="AP35" s="696"/>
      <c r="AQ35" s="481">
        <f t="shared" si="27"/>
        <v>0</v>
      </c>
      <c r="AR35" s="481">
        <f t="shared" si="29"/>
        <v>0</v>
      </c>
      <c r="AS35" s="1053"/>
      <c r="AT35" s="481">
        <f t="shared" si="30"/>
        <v>0</v>
      </c>
      <c r="AU35" s="481">
        <f t="shared" si="31"/>
        <v>0</v>
      </c>
      <c r="AV35" s="680"/>
      <c r="AW35" s="680"/>
      <c r="AX35" s="681"/>
    </row>
    <row r="36" spans="1:51" ht="15.75" x14ac:dyDescent="0.3">
      <c r="A36" s="503">
        <v>22</v>
      </c>
      <c r="B36" s="696"/>
      <c r="C36" s="696"/>
      <c r="D36" s="696"/>
      <c r="E36" s="696"/>
      <c r="F36" s="694"/>
      <c r="G36" s="1075"/>
      <c r="H36" s="554"/>
      <c r="I36" s="680"/>
      <c r="J36" s="680"/>
      <c r="K36" s="680"/>
      <c r="L36" s="681"/>
      <c r="M36" s="683"/>
      <c r="N36" s="680"/>
      <c r="O36" s="680"/>
      <c r="P36" s="681"/>
      <c r="Q36" s="692"/>
      <c r="R36" s="554"/>
      <c r="S36" s="680">
        <f t="shared" si="1"/>
        <v>0</v>
      </c>
      <c r="T36" s="680"/>
      <c r="U36" s="680"/>
      <c r="V36" s="694"/>
      <c r="W36" s="794">
        <f t="shared" si="20"/>
        <v>0</v>
      </c>
      <c r="X36" s="1076">
        <f t="shared" si="7"/>
        <v>0</v>
      </c>
      <c r="Y36" s="488">
        <f t="shared" si="21"/>
        <v>0</v>
      </c>
      <c r="Z36" s="489">
        <f t="shared" si="22"/>
        <v>0</v>
      </c>
      <c r="AA36" s="530">
        <f t="shared" si="23"/>
        <v>0</v>
      </c>
      <c r="AB36" s="488">
        <f t="shared" si="24"/>
        <v>0</v>
      </c>
      <c r="AC36" s="488">
        <f t="shared" si="25"/>
        <v>0</v>
      </c>
      <c r="AD36" s="725"/>
      <c r="AE36" s="488">
        <f t="shared" si="28"/>
        <v>0</v>
      </c>
      <c r="AF36" s="715"/>
      <c r="AG36" s="681"/>
      <c r="AH36" s="683"/>
      <c r="AI36" s="644">
        <f t="shared" si="16"/>
        <v>0</v>
      </c>
      <c r="AJ36" s="683"/>
      <c r="AK36" s="481">
        <f t="shared" si="26"/>
        <v>0</v>
      </c>
      <c r="AL36" s="696"/>
      <c r="AM36" s="696"/>
      <c r="AN36" s="694"/>
      <c r="AO36" s="683"/>
      <c r="AP36" s="696"/>
      <c r="AQ36" s="481">
        <f t="shared" si="27"/>
        <v>0</v>
      </c>
      <c r="AR36" s="481">
        <f t="shared" si="29"/>
        <v>0</v>
      </c>
      <c r="AS36" s="1053"/>
      <c r="AT36" s="481">
        <f t="shared" si="30"/>
        <v>0</v>
      </c>
      <c r="AU36" s="481">
        <f t="shared" si="31"/>
        <v>0</v>
      </c>
      <c r="AV36" s="680"/>
      <c r="AW36" s="680"/>
      <c r="AX36" s="681"/>
      <c r="AY36" s="95"/>
    </row>
    <row r="37" spans="1:51" ht="15.75" x14ac:dyDescent="0.3">
      <c r="A37" s="503">
        <v>23</v>
      </c>
      <c r="B37" s="696"/>
      <c r="C37" s="696"/>
      <c r="D37" s="696"/>
      <c r="E37" s="696"/>
      <c r="F37" s="694"/>
      <c r="G37" s="1075"/>
      <c r="H37" s="554"/>
      <c r="I37" s="680"/>
      <c r="J37" s="680"/>
      <c r="K37" s="680"/>
      <c r="L37" s="681"/>
      <c r="M37" s="683"/>
      <c r="N37" s="680"/>
      <c r="O37" s="680"/>
      <c r="P37" s="681"/>
      <c r="Q37" s="692"/>
      <c r="R37" s="554"/>
      <c r="S37" s="680">
        <f t="shared" si="1"/>
        <v>0</v>
      </c>
      <c r="T37" s="680"/>
      <c r="U37" s="680"/>
      <c r="V37" s="694"/>
      <c r="W37" s="794">
        <f t="shared" si="20"/>
        <v>0</v>
      </c>
      <c r="X37" s="1076">
        <f t="shared" si="7"/>
        <v>0</v>
      </c>
      <c r="Y37" s="488">
        <f t="shared" si="21"/>
        <v>0</v>
      </c>
      <c r="Z37" s="489">
        <f t="shared" si="22"/>
        <v>0</v>
      </c>
      <c r="AA37" s="530">
        <f t="shared" si="23"/>
        <v>0</v>
      </c>
      <c r="AB37" s="488">
        <f t="shared" si="24"/>
        <v>0</v>
      </c>
      <c r="AC37" s="488">
        <f t="shared" si="25"/>
        <v>0</v>
      </c>
      <c r="AD37" s="725"/>
      <c r="AE37" s="488">
        <f t="shared" si="28"/>
        <v>0</v>
      </c>
      <c r="AF37" s="715"/>
      <c r="AG37" s="681"/>
      <c r="AH37" s="683"/>
      <c r="AI37" s="644">
        <f t="shared" si="16"/>
        <v>0</v>
      </c>
      <c r="AJ37" s="683"/>
      <c r="AK37" s="481">
        <f t="shared" si="26"/>
        <v>0</v>
      </c>
      <c r="AL37" s="696"/>
      <c r="AM37" s="696"/>
      <c r="AN37" s="694"/>
      <c r="AO37" s="683"/>
      <c r="AP37" s="696"/>
      <c r="AQ37" s="481">
        <f t="shared" si="27"/>
        <v>0</v>
      </c>
      <c r="AR37" s="481">
        <f t="shared" si="29"/>
        <v>0</v>
      </c>
      <c r="AS37" s="1053"/>
      <c r="AT37" s="481">
        <f t="shared" si="30"/>
        <v>0</v>
      </c>
      <c r="AU37" s="481">
        <f t="shared" si="31"/>
        <v>0</v>
      </c>
      <c r="AV37" s="680"/>
      <c r="AW37" s="680"/>
      <c r="AX37" s="681"/>
    </row>
    <row r="38" spans="1:51" ht="15.75" x14ac:dyDescent="0.3">
      <c r="A38" s="503">
        <v>24</v>
      </c>
      <c r="B38" s="1067"/>
      <c r="C38" s="1067"/>
      <c r="D38" s="1067"/>
      <c r="E38" s="1067"/>
      <c r="F38" s="708"/>
      <c r="G38" s="1077"/>
      <c r="H38" s="1078"/>
      <c r="I38" s="696"/>
      <c r="J38" s="722"/>
      <c r="K38" s="722"/>
      <c r="L38" s="681"/>
      <c r="M38" s="721"/>
      <c r="N38" s="722"/>
      <c r="O38" s="722"/>
      <c r="P38" s="723"/>
      <c r="Q38" s="1079"/>
      <c r="R38" s="554"/>
      <c r="S38" s="680">
        <f t="shared" si="1"/>
        <v>0</v>
      </c>
      <c r="T38" s="696"/>
      <c r="U38" s="696"/>
      <c r="V38" s="694"/>
      <c r="W38" s="794">
        <f t="shared" si="20"/>
        <v>0</v>
      </c>
      <c r="X38" s="1076">
        <f t="shared" si="7"/>
        <v>0</v>
      </c>
      <c r="Y38" s="488">
        <f t="shared" si="21"/>
        <v>0</v>
      </c>
      <c r="Z38" s="489">
        <f t="shared" si="22"/>
        <v>0</v>
      </c>
      <c r="AA38" s="530">
        <f t="shared" si="23"/>
        <v>0</v>
      </c>
      <c r="AB38" s="488">
        <f t="shared" si="24"/>
        <v>0</v>
      </c>
      <c r="AC38" s="488">
        <f t="shared" si="25"/>
        <v>0</v>
      </c>
      <c r="AD38" s="725"/>
      <c r="AE38" s="488">
        <f t="shared" si="28"/>
        <v>0</v>
      </c>
      <c r="AF38" s="1066"/>
      <c r="AG38" s="723"/>
      <c r="AH38" s="554"/>
      <c r="AI38" s="644">
        <f t="shared" si="16"/>
        <v>0</v>
      </c>
      <c r="AJ38" s="554"/>
      <c r="AK38" s="481">
        <f t="shared" si="26"/>
        <v>0</v>
      </c>
      <c r="AL38" s="696"/>
      <c r="AM38" s="696"/>
      <c r="AN38" s="694"/>
      <c r="AO38" s="683"/>
      <c r="AP38" s="1067"/>
      <c r="AQ38" s="481">
        <f t="shared" si="27"/>
        <v>0</v>
      </c>
      <c r="AR38" s="481">
        <f t="shared" si="29"/>
        <v>0</v>
      </c>
      <c r="AS38" s="1057"/>
      <c r="AT38" s="481">
        <f t="shared" si="30"/>
        <v>0</v>
      </c>
      <c r="AU38" s="481">
        <f t="shared" si="31"/>
        <v>0</v>
      </c>
      <c r="AV38" s="722"/>
      <c r="AW38" s="722"/>
      <c r="AX38" s="723"/>
    </row>
    <row r="39" spans="1:51" ht="16.5" thickBot="1" x14ac:dyDescent="0.35">
      <c r="A39" s="543" t="s">
        <v>627</v>
      </c>
      <c r="B39" s="1061"/>
      <c r="C39" s="1067"/>
      <c r="D39" s="1067"/>
      <c r="E39" s="1067"/>
      <c r="F39" s="708"/>
      <c r="G39" s="1077"/>
      <c r="H39" s="1078"/>
      <c r="I39" s="1067"/>
      <c r="J39" s="1067"/>
      <c r="K39" s="1067"/>
      <c r="L39" s="723"/>
      <c r="M39" s="1078"/>
      <c r="N39" s="1067"/>
      <c r="O39" s="1067"/>
      <c r="P39" s="708"/>
      <c r="Q39" s="1077"/>
      <c r="R39" s="1078"/>
      <c r="S39" s="680">
        <f t="shared" si="1"/>
        <v>0</v>
      </c>
      <c r="T39" s="1067"/>
      <c r="U39" s="1067"/>
      <c r="V39" s="1062"/>
      <c r="W39" s="1080">
        <f t="shared" si="20"/>
        <v>0</v>
      </c>
      <c r="X39" s="1081">
        <f t="shared" si="7"/>
        <v>0</v>
      </c>
      <c r="Y39" s="650">
        <f t="shared" si="21"/>
        <v>0</v>
      </c>
      <c r="Z39" s="1082">
        <f t="shared" si="22"/>
        <v>0</v>
      </c>
      <c r="AA39" s="1080">
        <f t="shared" si="23"/>
        <v>0</v>
      </c>
      <c r="AB39" s="650">
        <f t="shared" si="24"/>
        <v>0</v>
      </c>
      <c r="AC39" s="1060">
        <f>IF(AA39&gt;0,0.7*T$6*W$4/W$6*720*8/8760,0)</f>
        <v>0</v>
      </c>
      <c r="AD39" s="1050"/>
      <c r="AE39" s="651">
        <f t="shared" si="28"/>
        <v>0</v>
      </c>
      <c r="AF39" s="1068"/>
      <c r="AG39" s="1062"/>
      <c r="AH39" s="721"/>
      <c r="AI39" s="652">
        <f t="shared" si="16"/>
        <v>0</v>
      </c>
      <c r="AJ39" s="721"/>
      <c r="AK39" s="481">
        <f t="shared" si="26"/>
        <v>0</v>
      </c>
      <c r="AL39" s="722"/>
      <c r="AM39" s="722"/>
      <c r="AN39" s="723"/>
      <c r="AO39" s="683"/>
      <c r="AP39" s="1061"/>
      <c r="AQ39" s="651">
        <f t="shared" si="27"/>
        <v>0</v>
      </c>
      <c r="AR39" s="651">
        <f t="shared" si="29"/>
        <v>0</v>
      </c>
      <c r="AS39" s="1058"/>
      <c r="AT39" s="1060">
        <f t="shared" si="30"/>
        <v>0</v>
      </c>
      <c r="AU39" s="1060">
        <f t="shared" si="31"/>
        <v>0</v>
      </c>
      <c r="AV39" s="1061"/>
      <c r="AW39" s="1061"/>
      <c r="AX39" s="1062"/>
    </row>
    <row r="40" spans="1:51" s="114" customFormat="1" ht="16.5" thickBot="1" x14ac:dyDescent="0.35">
      <c r="A40" s="661" t="s">
        <v>629</v>
      </c>
      <c r="B40" s="1069">
        <f>IF(B39&gt;0,B39,SUM(B27:B38))</f>
        <v>0</v>
      </c>
      <c r="C40" s="653">
        <f t="shared" ref="C40:J40" si="32">IF(C39&gt;0,C39,SUM(C27:C38))</f>
        <v>0</v>
      </c>
      <c r="D40" s="653">
        <f t="shared" si="32"/>
        <v>0</v>
      </c>
      <c r="E40" s="653">
        <f t="shared" si="32"/>
        <v>0</v>
      </c>
      <c r="F40" s="654">
        <f t="shared" si="32"/>
        <v>0</v>
      </c>
      <c r="G40" s="654">
        <f t="shared" si="32"/>
        <v>0</v>
      </c>
      <c r="H40" s="655">
        <f t="shared" si="32"/>
        <v>0</v>
      </c>
      <c r="I40" s="653">
        <f t="shared" si="32"/>
        <v>0</v>
      </c>
      <c r="J40" s="653">
        <f t="shared" si="32"/>
        <v>0</v>
      </c>
      <c r="K40" s="653">
        <f t="shared" ref="K40:V40" si="33">IF(K39&gt;0,K39,SUM(K27:K38))</f>
        <v>0</v>
      </c>
      <c r="L40" s="654">
        <f t="shared" si="33"/>
        <v>0</v>
      </c>
      <c r="M40" s="655">
        <f t="shared" si="33"/>
        <v>0</v>
      </c>
      <c r="N40" s="653">
        <f t="shared" si="33"/>
        <v>0</v>
      </c>
      <c r="O40" s="653">
        <f t="shared" si="33"/>
        <v>0</v>
      </c>
      <c r="P40" s="1083">
        <f t="shared" si="33"/>
        <v>0</v>
      </c>
      <c r="Q40" s="656">
        <f t="shared" si="33"/>
        <v>0</v>
      </c>
      <c r="R40" s="655">
        <f t="shared" si="33"/>
        <v>0</v>
      </c>
      <c r="S40" s="653">
        <f t="shared" si="33"/>
        <v>0</v>
      </c>
      <c r="T40" s="653">
        <f t="shared" si="33"/>
        <v>0</v>
      </c>
      <c r="U40" s="653">
        <f t="shared" si="33"/>
        <v>0</v>
      </c>
      <c r="V40" s="654">
        <f t="shared" si="33"/>
        <v>0</v>
      </c>
      <c r="W40" s="655">
        <f t="shared" ref="W40:AC40" si="34">IF(W39&gt;0,W39,SUM(W27:W38))</f>
        <v>0</v>
      </c>
      <c r="X40" s="653">
        <f t="shared" si="34"/>
        <v>0</v>
      </c>
      <c r="Y40" s="653">
        <f t="shared" si="34"/>
        <v>0</v>
      </c>
      <c r="Z40" s="1083">
        <f t="shared" si="34"/>
        <v>0</v>
      </c>
      <c r="AA40" s="655">
        <f t="shared" si="34"/>
        <v>0</v>
      </c>
      <c r="AB40" s="653">
        <f t="shared" si="34"/>
        <v>0</v>
      </c>
      <c r="AC40" s="653">
        <f t="shared" si="34"/>
        <v>0</v>
      </c>
      <c r="AD40" s="1051" t="str">
        <f>IF(AD39&gt;0,AD39,"-")</f>
        <v>-</v>
      </c>
      <c r="AE40" s="1069">
        <f t="shared" ref="AE40:AK40" si="35">IF(AE39&gt;0,AE39,SUM(AE27:AE38))</f>
        <v>0</v>
      </c>
      <c r="AF40" s="1069">
        <f t="shared" si="35"/>
        <v>0</v>
      </c>
      <c r="AG40" s="1070">
        <f t="shared" si="35"/>
        <v>0</v>
      </c>
      <c r="AH40" s="655">
        <f t="shared" si="35"/>
        <v>0</v>
      </c>
      <c r="AI40" s="656">
        <f t="shared" si="35"/>
        <v>0</v>
      </c>
      <c r="AJ40" s="520">
        <f t="shared" si="35"/>
        <v>0</v>
      </c>
      <c r="AK40" s="520">
        <f t="shared" si="35"/>
        <v>0</v>
      </c>
      <c r="AL40" s="658">
        <f t="shared" ref="AL40:AR40" si="36">IF(AL39&gt;0,AL39,SUM(AL27:AL38))</f>
        <v>0</v>
      </c>
      <c r="AM40" s="658">
        <f t="shared" si="36"/>
        <v>0</v>
      </c>
      <c r="AN40" s="659">
        <f t="shared" si="36"/>
        <v>0</v>
      </c>
      <c r="AO40" s="520">
        <f t="shared" si="36"/>
        <v>0</v>
      </c>
      <c r="AP40" s="547">
        <f t="shared" si="36"/>
        <v>0</v>
      </c>
      <c r="AQ40" s="547">
        <f t="shared" si="36"/>
        <v>0</v>
      </c>
      <c r="AR40" s="547">
        <f t="shared" si="36"/>
        <v>0</v>
      </c>
      <c r="AS40" s="1055" t="str">
        <f>IF(AS39&gt;0,AS39,"-")</f>
        <v>-</v>
      </c>
      <c r="AT40" s="658">
        <f>IF(AT39&gt;0,AT39,SUM(AT27:AT38))</f>
        <v>0</v>
      </c>
      <c r="AU40" s="658">
        <f>IF(AU39&gt;0,AU39,SUM(AU27:AU38))</f>
        <v>0</v>
      </c>
      <c r="AV40" s="547">
        <f>IF(AV39&gt;0,AV39,SUM(AV27:AV38))</f>
        <v>0</v>
      </c>
      <c r="AW40" s="547">
        <f>IF(AW39&gt;0,AW39,SUM(AW27:AW38))</f>
        <v>0</v>
      </c>
      <c r="AX40" s="1063">
        <f>IF(AX39&gt;0,AX39,SUM(AX27:AX38))</f>
        <v>0</v>
      </c>
    </row>
    <row r="41" spans="1:51" ht="15.75" x14ac:dyDescent="0.3">
      <c r="A41" s="660">
        <v>25</v>
      </c>
      <c r="B41" s="724"/>
      <c r="C41" s="680"/>
      <c r="D41" s="680"/>
      <c r="E41" s="680"/>
      <c r="F41" s="681"/>
      <c r="G41" s="692"/>
      <c r="H41" s="683"/>
      <c r="I41" s="680"/>
      <c r="J41" s="680"/>
      <c r="K41" s="680"/>
      <c r="L41" s="681"/>
      <c r="M41" s="683"/>
      <c r="N41" s="680"/>
      <c r="O41" s="680"/>
      <c r="P41" s="681"/>
      <c r="Q41" s="692"/>
      <c r="R41" s="683"/>
      <c r="S41" s="680">
        <f t="shared" si="1"/>
        <v>0</v>
      </c>
      <c r="T41" s="680"/>
      <c r="U41" s="680"/>
      <c r="V41" s="681"/>
      <c r="W41" s="530">
        <f t="shared" ref="W41:W53" si="37">B41-H41-M41-R41</f>
        <v>0</v>
      </c>
      <c r="X41" s="1084">
        <f t="shared" si="7"/>
        <v>0</v>
      </c>
      <c r="Y41" s="481">
        <f t="shared" ref="Y41:Y53" si="38">E41-K41-O41-T41</f>
        <v>0</v>
      </c>
      <c r="Z41" s="482">
        <f t="shared" ref="Z41:Z53" si="39">F41-L41-P41-U41</f>
        <v>0</v>
      </c>
      <c r="AA41" s="1073">
        <f t="shared" ref="AA41:AA53" si="40">W41+X41+Y41+Z41</f>
        <v>0</v>
      </c>
      <c r="AB41" s="1085">
        <f t="shared" ref="AB41:AB53" si="41">IF(AA41&gt;0,-0.05*AA41*T$7,0)</f>
        <v>0</v>
      </c>
      <c r="AC41" s="1064">
        <f t="shared" ref="AC41:AC52" si="42">IF(AA41&gt;0,0.7*T$8*W$4/W$6*720/8760,0)</f>
        <v>0</v>
      </c>
      <c r="AD41" s="1049"/>
      <c r="AE41" s="1064">
        <f>IF(AD41=0,0,(AA41+AB41+AC41)/AD41)</f>
        <v>0</v>
      </c>
      <c r="AF41" s="1065"/>
      <c r="AG41" s="688"/>
      <c r="AH41" s="683"/>
      <c r="AI41" s="644">
        <f t="shared" si="16"/>
        <v>0</v>
      </c>
      <c r="AJ41" s="683"/>
      <c r="AK41" s="481">
        <f t="shared" ref="AK41:AK53" si="43">C41-I41-N41-S41-X41+AJ41</f>
        <v>0</v>
      </c>
      <c r="AL41" s="680"/>
      <c r="AM41" s="680"/>
      <c r="AN41" s="681"/>
      <c r="AO41" s="683"/>
      <c r="AP41" s="680"/>
      <c r="AQ41" s="481">
        <f t="shared" ref="AQ41:AQ53" si="44">D41-J41</f>
        <v>0</v>
      </c>
      <c r="AR41" s="481">
        <f>AO41-AP41</f>
        <v>0</v>
      </c>
      <c r="AS41" s="1056"/>
      <c r="AT41" s="481">
        <f>IF(AS41&gt;0,AQ41/AS41,0)</f>
        <v>0</v>
      </c>
      <c r="AU41" s="481">
        <f>IF(AS41&gt;0,AR41/AS41,0)</f>
        <v>0</v>
      </c>
      <c r="AV41" s="680"/>
      <c r="AW41" s="680"/>
      <c r="AX41" s="681"/>
    </row>
    <row r="42" spans="1:51" ht="15.75" x14ac:dyDescent="0.3">
      <c r="A42" s="503">
        <v>26</v>
      </c>
      <c r="B42" s="696"/>
      <c r="C42" s="696"/>
      <c r="D42" s="696"/>
      <c r="E42" s="696"/>
      <c r="F42" s="694"/>
      <c r="G42" s="1075"/>
      <c r="H42" s="554"/>
      <c r="I42" s="680"/>
      <c r="J42" s="680"/>
      <c r="K42" s="680"/>
      <c r="L42" s="681"/>
      <c r="M42" s="683"/>
      <c r="N42" s="680"/>
      <c r="O42" s="680"/>
      <c r="P42" s="681"/>
      <c r="Q42" s="692"/>
      <c r="R42" s="554"/>
      <c r="S42" s="680">
        <f t="shared" si="1"/>
        <v>0</v>
      </c>
      <c r="T42" s="680"/>
      <c r="U42" s="680"/>
      <c r="V42" s="694"/>
      <c r="W42" s="530">
        <f t="shared" si="37"/>
        <v>0</v>
      </c>
      <c r="X42" s="1084">
        <f t="shared" si="7"/>
        <v>0</v>
      </c>
      <c r="Y42" s="481">
        <f t="shared" si="38"/>
        <v>0</v>
      </c>
      <c r="Z42" s="644">
        <f t="shared" si="39"/>
        <v>0</v>
      </c>
      <c r="AA42" s="794">
        <f t="shared" si="40"/>
        <v>0</v>
      </c>
      <c r="AB42" s="488">
        <f t="shared" si="41"/>
        <v>0</v>
      </c>
      <c r="AC42" s="488">
        <f t="shared" si="42"/>
        <v>0</v>
      </c>
      <c r="AD42" s="725"/>
      <c r="AE42" s="488">
        <f t="shared" ref="AE42:AE53" si="45">IF(AD42=0,0,(AA42+AB42+AC42)/AD42)</f>
        <v>0</v>
      </c>
      <c r="AF42" s="1071"/>
      <c r="AG42" s="681"/>
      <c r="AH42" s="683"/>
      <c r="AI42" s="644">
        <f t="shared" si="16"/>
        <v>0</v>
      </c>
      <c r="AJ42" s="683"/>
      <c r="AK42" s="481">
        <f t="shared" si="43"/>
        <v>0</v>
      </c>
      <c r="AL42" s="696"/>
      <c r="AM42" s="696"/>
      <c r="AN42" s="694"/>
      <c r="AO42" s="683"/>
      <c r="AP42" s="696"/>
      <c r="AQ42" s="481">
        <f t="shared" si="44"/>
        <v>0</v>
      </c>
      <c r="AR42" s="481">
        <f t="shared" ref="AR42:AR53" si="46">AO42-AP42</f>
        <v>0</v>
      </c>
      <c r="AS42" s="1053"/>
      <c r="AT42" s="481">
        <f t="shared" ref="AT42:AT53" si="47">IF(AS42&gt;0,AQ42/AS42,0)</f>
        <v>0</v>
      </c>
      <c r="AU42" s="481">
        <f t="shared" ref="AU42:AU53" si="48">IF(AS42&gt;0,AR42/AS42,0)</f>
        <v>0</v>
      </c>
      <c r="AV42" s="680"/>
      <c r="AW42" s="680"/>
      <c r="AX42" s="681"/>
    </row>
    <row r="43" spans="1:51" ht="15.75" x14ac:dyDescent="0.3">
      <c r="A43" s="503">
        <v>27</v>
      </c>
      <c r="B43" s="696"/>
      <c r="C43" s="696"/>
      <c r="D43" s="696"/>
      <c r="E43" s="696"/>
      <c r="F43" s="694"/>
      <c r="G43" s="1075"/>
      <c r="H43" s="554"/>
      <c r="I43" s="680"/>
      <c r="J43" s="680"/>
      <c r="K43" s="680"/>
      <c r="L43" s="681"/>
      <c r="M43" s="683"/>
      <c r="N43" s="680"/>
      <c r="O43" s="680"/>
      <c r="P43" s="681"/>
      <c r="Q43" s="692"/>
      <c r="R43" s="554"/>
      <c r="S43" s="680">
        <f t="shared" si="1"/>
        <v>0</v>
      </c>
      <c r="T43" s="680"/>
      <c r="U43" s="680"/>
      <c r="V43" s="694"/>
      <c r="W43" s="530">
        <f t="shared" si="37"/>
        <v>0</v>
      </c>
      <c r="X43" s="1084">
        <f t="shared" si="7"/>
        <v>0</v>
      </c>
      <c r="Y43" s="481">
        <f t="shared" si="38"/>
        <v>0</v>
      </c>
      <c r="Z43" s="644">
        <f t="shared" si="39"/>
        <v>0</v>
      </c>
      <c r="AA43" s="794">
        <f t="shared" si="40"/>
        <v>0</v>
      </c>
      <c r="AB43" s="488">
        <f t="shared" si="41"/>
        <v>0</v>
      </c>
      <c r="AC43" s="488">
        <f t="shared" si="42"/>
        <v>0</v>
      </c>
      <c r="AD43" s="725"/>
      <c r="AE43" s="488">
        <f t="shared" si="45"/>
        <v>0</v>
      </c>
      <c r="AF43" s="1071"/>
      <c r="AG43" s="681"/>
      <c r="AH43" s="683"/>
      <c r="AI43" s="644">
        <f t="shared" si="16"/>
        <v>0</v>
      </c>
      <c r="AJ43" s="683"/>
      <c r="AK43" s="481">
        <f t="shared" si="43"/>
        <v>0</v>
      </c>
      <c r="AL43" s="696"/>
      <c r="AM43" s="696"/>
      <c r="AN43" s="694"/>
      <c r="AO43" s="683"/>
      <c r="AP43" s="696"/>
      <c r="AQ43" s="481">
        <f t="shared" si="44"/>
        <v>0</v>
      </c>
      <c r="AR43" s="481">
        <f t="shared" si="46"/>
        <v>0</v>
      </c>
      <c r="AS43" s="1053"/>
      <c r="AT43" s="481">
        <f t="shared" si="47"/>
        <v>0</v>
      </c>
      <c r="AU43" s="481">
        <f t="shared" si="48"/>
        <v>0</v>
      </c>
      <c r="AV43" s="680"/>
      <c r="AW43" s="680"/>
      <c r="AX43" s="681"/>
    </row>
    <row r="44" spans="1:51" ht="15.75" x14ac:dyDescent="0.3">
      <c r="A44" s="503">
        <v>28</v>
      </c>
      <c r="B44" s="680"/>
      <c r="C44" s="680"/>
      <c r="D44" s="680"/>
      <c r="E44" s="680"/>
      <c r="F44" s="681"/>
      <c r="G44" s="692"/>
      <c r="H44" s="683"/>
      <c r="I44" s="680"/>
      <c r="J44" s="680"/>
      <c r="K44" s="680"/>
      <c r="L44" s="681"/>
      <c r="M44" s="683"/>
      <c r="N44" s="680"/>
      <c r="O44" s="680"/>
      <c r="P44" s="681"/>
      <c r="Q44" s="692"/>
      <c r="R44" s="554"/>
      <c r="S44" s="680">
        <f t="shared" si="1"/>
        <v>0</v>
      </c>
      <c r="T44" s="680"/>
      <c r="U44" s="680"/>
      <c r="V44" s="694"/>
      <c r="W44" s="530">
        <f t="shared" si="37"/>
        <v>0</v>
      </c>
      <c r="X44" s="1084">
        <f t="shared" si="7"/>
        <v>0</v>
      </c>
      <c r="Y44" s="481">
        <f t="shared" si="38"/>
        <v>0</v>
      </c>
      <c r="Z44" s="644">
        <f t="shared" si="39"/>
        <v>0</v>
      </c>
      <c r="AA44" s="794">
        <f t="shared" si="40"/>
        <v>0</v>
      </c>
      <c r="AB44" s="488">
        <f t="shared" si="41"/>
        <v>0</v>
      </c>
      <c r="AC44" s="488">
        <f t="shared" si="42"/>
        <v>0</v>
      </c>
      <c r="AD44" s="725"/>
      <c r="AE44" s="488">
        <f t="shared" si="45"/>
        <v>0</v>
      </c>
      <c r="AF44" s="1071"/>
      <c r="AG44" s="681"/>
      <c r="AH44" s="683"/>
      <c r="AI44" s="644">
        <f t="shared" si="16"/>
        <v>0</v>
      </c>
      <c r="AJ44" s="683"/>
      <c r="AK44" s="481">
        <f t="shared" si="43"/>
        <v>0</v>
      </c>
      <c r="AL44" s="696"/>
      <c r="AM44" s="696"/>
      <c r="AN44" s="694"/>
      <c r="AO44" s="683"/>
      <c r="AP44" s="696"/>
      <c r="AQ44" s="481">
        <f t="shared" si="44"/>
        <v>0</v>
      </c>
      <c r="AR44" s="481">
        <f t="shared" si="46"/>
        <v>0</v>
      </c>
      <c r="AS44" s="1053"/>
      <c r="AT44" s="481">
        <f t="shared" si="47"/>
        <v>0</v>
      </c>
      <c r="AU44" s="481">
        <f t="shared" si="48"/>
        <v>0</v>
      </c>
      <c r="AV44" s="680"/>
      <c r="AW44" s="680"/>
      <c r="AX44" s="681"/>
    </row>
    <row r="45" spans="1:51" ht="15.75" x14ac:dyDescent="0.3">
      <c r="A45" s="503">
        <v>29</v>
      </c>
      <c r="B45" s="696"/>
      <c r="C45" s="696"/>
      <c r="D45" s="696"/>
      <c r="E45" s="696"/>
      <c r="F45" s="694"/>
      <c r="G45" s="1075"/>
      <c r="H45" s="554"/>
      <c r="I45" s="680"/>
      <c r="J45" s="680"/>
      <c r="K45" s="680"/>
      <c r="L45" s="681"/>
      <c r="M45" s="683"/>
      <c r="N45" s="680"/>
      <c r="O45" s="680"/>
      <c r="P45" s="681"/>
      <c r="Q45" s="692"/>
      <c r="R45" s="554"/>
      <c r="S45" s="680">
        <f t="shared" si="1"/>
        <v>0</v>
      </c>
      <c r="T45" s="680"/>
      <c r="U45" s="680"/>
      <c r="V45" s="694"/>
      <c r="W45" s="530">
        <f t="shared" si="37"/>
        <v>0</v>
      </c>
      <c r="X45" s="1084">
        <f t="shared" si="7"/>
        <v>0</v>
      </c>
      <c r="Y45" s="481">
        <f t="shared" si="38"/>
        <v>0</v>
      </c>
      <c r="Z45" s="644">
        <f t="shared" si="39"/>
        <v>0</v>
      </c>
      <c r="AA45" s="794">
        <f t="shared" si="40"/>
        <v>0</v>
      </c>
      <c r="AB45" s="488">
        <f t="shared" si="41"/>
        <v>0</v>
      </c>
      <c r="AC45" s="488">
        <f t="shared" si="42"/>
        <v>0</v>
      </c>
      <c r="AD45" s="725"/>
      <c r="AE45" s="488">
        <f t="shared" si="45"/>
        <v>0</v>
      </c>
      <c r="AF45" s="1071"/>
      <c r="AG45" s="681"/>
      <c r="AH45" s="683"/>
      <c r="AI45" s="644">
        <f t="shared" si="16"/>
        <v>0</v>
      </c>
      <c r="AJ45" s="683"/>
      <c r="AK45" s="481">
        <f t="shared" si="43"/>
        <v>0</v>
      </c>
      <c r="AL45" s="696"/>
      <c r="AM45" s="696"/>
      <c r="AN45" s="694"/>
      <c r="AO45" s="683"/>
      <c r="AP45" s="696"/>
      <c r="AQ45" s="481">
        <f t="shared" si="44"/>
        <v>0</v>
      </c>
      <c r="AR45" s="481">
        <f t="shared" si="46"/>
        <v>0</v>
      </c>
      <c r="AS45" s="1053"/>
      <c r="AT45" s="481">
        <f t="shared" si="47"/>
        <v>0</v>
      </c>
      <c r="AU45" s="481">
        <f t="shared" si="48"/>
        <v>0</v>
      </c>
      <c r="AV45" s="680"/>
      <c r="AW45" s="680"/>
      <c r="AX45" s="681"/>
    </row>
    <row r="46" spans="1:51" ht="15.75" x14ac:dyDescent="0.3">
      <c r="A46" s="503">
        <v>30</v>
      </c>
      <c r="B46" s="696"/>
      <c r="C46" s="696"/>
      <c r="D46" s="696"/>
      <c r="E46" s="696"/>
      <c r="F46" s="694"/>
      <c r="G46" s="1075"/>
      <c r="H46" s="554"/>
      <c r="I46" s="680"/>
      <c r="J46" s="680"/>
      <c r="K46" s="680"/>
      <c r="L46" s="681"/>
      <c r="M46" s="683"/>
      <c r="N46" s="680"/>
      <c r="O46" s="680"/>
      <c r="P46" s="681"/>
      <c r="Q46" s="692"/>
      <c r="R46" s="554"/>
      <c r="S46" s="680">
        <f t="shared" si="1"/>
        <v>0</v>
      </c>
      <c r="T46" s="680"/>
      <c r="U46" s="680"/>
      <c r="V46" s="694"/>
      <c r="W46" s="530">
        <f t="shared" si="37"/>
        <v>0</v>
      </c>
      <c r="X46" s="1084">
        <f t="shared" si="7"/>
        <v>0</v>
      </c>
      <c r="Y46" s="481">
        <f t="shared" si="38"/>
        <v>0</v>
      </c>
      <c r="Z46" s="644">
        <f t="shared" si="39"/>
        <v>0</v>
      </c>
      <c r="AA46" s="794">
        <f t="shared" si="40"/>
        <v>0</v>
      </c>
      <c r="AB46" s="488">
        <f t="shared" si="41"/>
        <v>0</v>
      </c>
      <c r="AC46" s="488">
        <f t="shared" si="42"/>
        <v>0</v>
      </c>
      <c r="AD46" s="725"/>
      <c r="AE46" s="488">
        <f t="shared" si="45"/>
        <v>0</v>
      </c>
      <c r="AF46" s="1071"/>
      <c r="AG46" s="681"/>
      <c r="AH46" s="683"/>
      <c r="AI46" s="644">
        <f t="shared" si="16"/>
        <v>0</v>
      </c>
      <c r="AJ46" s="683"/>
      <c r="AK46" s="481">
        <f t="shared" si="43"/>
        <v>0</v>
      </c>
      <c r="AL46" s="696"/>
      <c r="AM46" s="696"/>
      <c r="AN46" s="694"/>
      <c r="AO46" s="683"/>
      <c r="AP46" s="696"/>
      <c r="AQ46" s="481">
        <f t="shared" si="44"/>
        <v>0</v>
      </c>
      <c r="AR46" s="481">
        <f t="shared" si="46"/>
        <v>0</v>
      </c>
      <c r="AS46" s="1053"/>
      <c r="AT46" s="481">
        <f t="shared" si="47"/>
        <v>0</v>
      </c>
      <c r="AU46" s="481">
        <f t="shared" si="48"/>
        <v>0</v>
      </c>
      <c r="AV46" s="680"/>
      <c r="AW46" s="680"/>
      <c r="AX46" s="681"/>
    </row>
    <row r="47" spans="1:51" ht="15.75" x14ac:dyDescent="0.3">
      <c r="A47" s="503">
        <v>31</v>
      </c>
      <c r="B47" s="680"/>
      <c r="C47" s="680"/>
      <c r="D47" s="680"/>
      <c r="E47" s="680"/>
      <c r="F47" s="681"/>
      <c r="G47" s="692"/>
      <c r="H47" s="683"/>
      <c r="I47" s="680"/>
      <c r="J47" s="680"/>
      <c r="K47" s="680"/>
      <c r="L47" s="681"/>
      <c r="M47" s="683"/>
      <c r="N47" s="680"/>
      <c r="O47" s="680"/>
      <c r="P47" s="681"/>
      <c r="Q47" s="692"/>
      <c r="R47" s="554"/>
      <c r="S47" s="680">
        <f t="shared" si="1"/>
        <v>0</v>
      </c>
      <c r="T47" s="680"/>
      <c r="U47" s="680"/>
      <c r="V47" s="694"/>
      <c r="W47" s="530">
        <f t="shared" si="37"/>
        <v>0</v>
      </c>
      <c r="X47" s="1084">
        <f t="shared" si="7"/>
        <v>0</v>
      </c>
      <c r="Y47" s="481">
        <f t="shared" si="38"/>
        <v>0</v>
      </c>
      <c r="Z47" s="644">
        <f t="shared" si="39"/>
        <v>0</v>
      </c>
      <c r="AA47" s="794">
        <f t="shared" si="40"/>
        <v>0</v>
      </c>
      <c r="AB47" s="488">
        <f t="shared" si="41"/>
        <v>0</v>
      </c>
      <c r="AC47" s="488">
        <f t="shared" si="42"/>
        <v>0</v>
      </c>
      <c r="AD47" s="725"/>
      <c r="AE47" s="488">
        <f t="shared" si="45"/>
        <v>0</v>
      </c>
      <c r="AF47" s="1071"/>
      <c r="AG47" s="681"/>
      <c r="AH47" s="683"/>
      <c r="AI47" s="644">
        <f t="shared" si="16"/>
        <v>0</v>
      </c>
      <c r="AJ47" s="683"/>
      <c r="AK47" s="481">
        <f t="shared" si="43"/>
        <v>0</v>
      </c>
      <c r="AL47" s="696"/>
      <c r="AM47" s="696"/>
      <c r="AN47" s="694"/>
      <c r="AO47" s="683"/>
      <c r="AP47" s="696"/>
      <c r="AQ47" s="481">
        <f t="shared" si="44"/>
        <v>0</v>
      </c>
      <c r="AR47" s="481">
        <f t="shared" si="46"/>
        <v>0</v>
      </c>
      <c r="AS47" s="1053"/>
      <c r="AT47" s="481">
        <f t="shared" si="47"/>
        <v>0</v>
      </c>
      <c r="AU47" s="481">
        <f t="shared" si="48"/>
        <v>0</v>
      </c>
      <c r="AV47" s="680"/>
      <c r="AW47" s="680"/>
      <c r="AX47" s="681"/>
    </row>
    <row r="48" spans="1:51" ht="15.75" x14ac:dyDescent="0.3">
      <c r="A48" s="503">
        <v>32</v>
      </c>
      <c r="B48" s="696"/>
      <c r="C48" s="696"/>
      <c r="D48" s="696"/>
      <c r="E48" s="696"/>
      <c r="F48" s="694"/>
      <c r="G48" s="1075"/>
      <c r="H48" s="554"/>
      <c r="I48" s="680"/>
      <c r="J48" s="680"/>
      <c r="K48" s="680"/>
      <c r="L48" s="681"/>
      <c r="M48" s="683"/>
      <c r="N48" s="680"/>
      <c r="O48" s="680"/>
      <c r="P48" s="681"/>
      <c r="Q48" s="692"/>
      <c r="R48" s="554"/>
      <c r="S48" s="680">
        <f t="shared" si="1"/>
        <v>0</v>
      </c>
      <c r="T48" s="680"/>
      <c r="U48" s="680"/>
      <c r="V48" s="694"/>
      <c r="W48" s="530">
        <f t="shared" si="37"/>
        <v>0</v>
      </c>
      <c r="X48" s="1084">
        <f t="shared" si="7"/>
        <v>0</v>
      </c>
      <c r="Y48" s="481">
        <f t="shared" si="38"/>
        <v>0</v>
      </c>
      <c r="Z48" s="644">
        <f t="shared" si="39"/>
        <v>0</v>
      </c>
      <c r="AA48" s="794">
        <f t="shared" si="40"/>
        <v>0</v>
      </c>
      <c r="AB48" s="488">
        <f t="shared" si="41"/>
        <v>0</v>
      </c>
      <c r="AC48" s="488">
        <f t="shared" si="42"/>
        <v>0</v>
      </c>
      <c r="AD48" s="725"/>
      <c r="AE48" s="488">
        <f t="shared" si="45"/>
        <v>0</v>
      </c>
      <c r="AF48" s="1071"/>
      <c r="AG48" s="681"/>
      <c r="AH48" s="683"/>
      <c r="AI48" s="644">
        <f t="shared" si="16"/>
        <v>0</v>
      </c>
      <c r="AJ48" s="683"/>
      <c r="AK48" s="481">
        <f t="shared" si="43"/>
        <v>0</v>
      </c>
      <c r="AL48" s="696"/>
      <c r="AM48" s="696"/>
      <c r="AN48" s="694"/>
      <c r="AO48" s="683"/>
      <c r="AP48" s="696"/>
      <c r="AQ48" s="481">
        <f t="shared" si="44"/>
        <v>0</v>
      </c>
      <c r="AR48" s="481">
        <f t="shared" si="46"/>
        <v>0</v>
      </c>
      <c r="AS48" s="1053"/>
      <c r="AT48" s="481">
        <f t="shared" si="47"/>
        <v>0</v>
      </c>
      <c r="AU48" s="481">
        <f t="shared" si="48"/>
        <v>0</v>
      </c>
      <c r="AV48" s="680"/>
      <c r="AW48" s="680"/>
      <c r="AX48" s="681"/>
    </row>
    <row r="49" spans="1:50" ht="15.75" x14ac:dyDescent="0.3">
      <c r="A49" s="503">
        <v>33</v>
      </c>
      <c r="B49" s="696"/>
      <c r="C49" s="696"/>
      <c r="D49" s="696"/>
      <c r="E49" s="696"/>
      <c r="F49" s="694"/>
      <c r="G49" s="1075"/>
      <c r="H49" s="554"/>
      <c r="I49" s="680"/>
      <c r="J49" s="680"/>
      <c r="K49" s="680"/>
      <c r="L49" s="681"/>
      <c r="M49" s="683"/>
      <c r="N49" s="680"/>
      <c r="O49" s="680"/>
      <c r="P49" s="681"/>
      <c r="Q49" s="692"/>
      <c r="R49" s="554"/>
      <c r="S49" s="680">
        <f t="shared" si="1"/>
        <v>0</v>
      </c>
      <c r="T49" s="680"/>
      <c r="U49" s="680"/>
      <c r="V49" s="694"/>
      <c r="W49" s="530">
        <f t="shared" si="37"/>
        <v>0</v>
      </c>
      <c r="X49" s="1084">
        <f t="shared" si="7"/>
        <v>0</v>
      </c>
      <c r="Y49" s="481">
        <f t="shared" si="38"/>
        <v>0</v>
      </c>
      <c r="Z49" s="644">
        <f t="shared" si="39"/>
        <v>0</v>
      </c>
      <c r="AA49" s="794">
        <f t="shared" si="40"/>
        <v>0</v>
      </c>
      <c r="AB49" s="488">
        <f t="shared" si="41"/>
        <v>0</v>
      </c>
      <c r="AC49" s="488">
        <f t="shared" si="42"/>
        <v>0</v>
      </c>
      <c r="AD49" s="725"/>
      <c r="AE49" s="488">
        <f t="shared" si="45"/>
        <v>0</v>
      </c>
      <c r="AF49" s="1071"/>
      <c r="AG49" s="681"/>
      <c r="AH49" s="683"/>
      <c r="AI49" s="644">
        <f t="shared" si="16"/>
        <v>0</v>
      </c>
      <c r="AJ49" s="683"/>
      <c r="AK49" s="481">
        <f t="shared" si="43"/>
        <v>0</v>
      </c>
      <c r="AL49" s="696"/>
      <c r="AM49" s="696"/>
      <c r="AN49" s="694"/>
      <c r="AO49" s="683"/>
      <c r="AP49" s="696"/>
      <c r="AQ49" s="481">
        <f t="shared" si="44"/>
        <v>0</v>
      </c>
      <c r="AR49" s="481">
        <f t="shared" si="46"/>
        <v>0</v>
      </c>
      <c r="AS49" s="1053"/>
      <c r="AT49" s="481">
        <f t="shared" si="47"/>
        <v>0</v>
      </c>
      <c r="AU49" s="481">
        <f t="shared" si="48"/>
        <v>0</v>
      </c>
      <c r="AV49" s="680"/>
      <c r="AW49" s="680"/>
      <c r="AX49" s="681"/>
    </row>
    <row r="50" spans="1:50" ht="15.75" x14ac:dyDescent="0.3">
      <c r="A50" s="503">
        <v>34</v>
      </c>
      <c r="B50" s="680"/>
      <c r="C50" s="680"/>
      <c r="D50" s="680"/>
      <c r="E50" s="680"/>
      <c r="F50" s="681"/>
      <c r="G50" s="692"/>
      <c r="H50" s="683"/>
      <c r="I50" s="680"/>
      <c r="J50" s="680"/>
      <c r="K50" s="680"/>
      <c r="L50" s="681"/>
      <c r="M50" s="683"/>
      <c r="N50" s="680"/>
      <c r="O50" s="680"/>
      <c r="P50" s="681"/>
      <c r="Q50" s="692"/>
      <c r="R50" s="554"/>
      <c r="S50" s="680">
        <f t="shared" si="1"/>
        <v>0</v>
      </c>
      <c r="T50" s="680"/>
      <c r="U50" s="680"/>
      <c r="V50" s="694"/>
      <c r="W50" s="530">
        <f t="shared" si="37"/>
        <v>0</v>
      </c>
      <c r="X50" s="1084">
        <f t="shared" si="7"/>
        <v>0</v>
      </c>
      <c r="Y50" s="481">
        <f t="shared" si="38"/>
        <v>0</v>
      </c>
      <c r="Z50" s="644">
        <f t="shared" si="39"/>
        <v>0</v>
      </c>
      <c r="AA50" s="794">
        <f t="shared" si="40"/>
        <v>0</v>
      </c>
      <c r="AB50" s="488">
        <f t="shared" si="41"/>
        <v>0</v>
      </c>
      <c r="AC50" s="488">
        <f t="shared" si="42"/>
        <v>0</v>
      </c>
      <c r="AD50" s="725"/>
      <c r="AE50" s="488">
        <f t="shared" si="45"/>
        <v>0</v>
      </c>
      <c r="AF50" s="1071"/>
      <c r="AG50" s="681"/>
      <c r="AH50" s="683"/>
      <c r="AI50" s="644">
        <f t="shared" si="16"/>
        <v>0</v>
      </c>
      <c r="AJ50" s="683"/>
      <c r="AK50" s="481">
        <f t="shared" si="43"/>
        <v>0</v>
      </c>
      <c r="AL50" s="696"/>
      <c r="AM50" s="696"/>
      <c r="AN50" s="694"/>
      <c r="AO50" s="683"/>
      <c r="AP50" s="696"/>
      <c r="AQ50" s="481">
        <f t="shared" si="44"/>
        <v>0</v>
      </c>
      <c r="AR50" s="481">
        <f t="shared" si="46"/>
        <v>0</v>
      </c>
      <c r="AS50" s="1053"/>
      <c r="AT50" s="481">
        <f t="shared" si="47"/>
        <v>0</v>
      </c>
      <c r="AU50" s="481">
        <f t="shared" si="48"/>
        <v>0</v>
      </c>
      <c r="AV50" s="680"/>
      <c r="AW50" s="680"/>
      <c r="AX50" s="681"/>
    </row>
    <row r="51" spans="1:50" ht="15.75" x14ac:dyDescent="0.3">
      <c r="A51" s="503">
        <v>35</v>
      </c>
      <c r="B51" s="696"/>
      <c r="C51" s="696"/>
      <c r="D51" s="696"/>
      <c r="E51" s="696"/>
      <c r="F51" s="694"/>
      <c r="G51" s="1075"/>
      <c r="H51" s="554"/>
      <c r="I51" s="680"/>
      <c r="J51" s="680"/>
      <c r="K51" s="680"/>
      <c r="L51" s="681"/>
      <c r="M51" s="683"/>
      <c r="N51" s="680"/>
      <c r="O51" s="680"/>
      <c r="P51" s="681"/>
      <c r="Q51" s="692"/>
      <c r="R51" s="554"/>
      <c r="S51" s="680">
        <f t="shared" si="1"/>
        <v>0</v>
      </c>
      <c r="T51" s="680"/>
      <c r="U51" s="680"/>
      <c r="V51" s="694"/>
      <c r="W51" s="530">
        <f t="shared" si="37"/>
        <v>0</v>
      </c>
      <c r="X51" s="1084">
        <f t="shared" si="7"/>
        <v>0</v>
      </c>
      <c r="Y51" s="481">
        <f t="shared" si="38"/>
        <v>0</v>
      </c>
      <c r="Z51" s="644">
        <f t="shared" si="39"/>
        <v>0</v>
      </c>
      <c r="AA51" s="794">
        <f t="shared" si="40"/>
        <v>0</v>
      </c>
      <c r="AB51" s="488">
        <f t="shared" si="41"/>
        <v>0</v>
      </c>
      <c r="AC51" s="488">
        <f t="shared" si="42"/>
        <v>0</v>
      </c>
      <c r="AD51" s="725"/>
      <c r="AE51" s="488">
        <f t="shared" si="45"/>
        <v>0</v>
      </c>
      <c r="AF51" s="1071"/>
      <c r="AG51" s="681"/>
      <c r="AH51" s="683"/>
      <c r="AI51" s="644">
        <f t="shared" si="16"/>
        <v>0</v>
      </c>
      <c r="AJ51" s="683"/>
      <c r="AK51" s="481">
        <f t="shared" si="43"/>
        <v>0</v>
      </c>
      <c r="AL51" s="696"/>
      <c r="AM51" s="696"/>
      <c r="AN51" s="694"/>
      <c r="AO51" s="683"/>
      <c r="AP51" s="696"/>
      <c r="AQ51" s="481">
        <f t="shared" si="44"/>
        <v>0</v>
      </c>
      <c r="AR51" s="481">
        <f t="shared" si="46"/>
        <v>0</v>
      </c>
      <c r="AS51" s="1053"/>
      <c r="AT51" s="481">
        <f t="shared" si="47"/>
        <v>0</v>
      </c>
      <c r="AU51" s="481">
        <f t="shared" si="48"/>
        <v>0</v>
      </c>
      <c r="AV51" s="680"/>
      <c r="AW51" s="680"/>
      <c r="AX51" s="681"/>
    </row>
    <row r="52" spans="1:50" ht="15.75" x14ac:dyDescent="0.3">
      <c r="A52" s="503">
        <v>36</v>
      </c>
      <c r="B52" s="1067"/>
      <c r="C52" s="1067"/>
      <c r="D52" s="1067"/>
      <c r="E52" s="1067"/>
      <c r="F52" s="708"/>
      <c r="G52" s="1077"/>
      <c r="H52" s="1078"/>
      <c r="I52" s="696"/>
      <c r="J52" s="680"/>
      <c r="K52" s="722"/>
      <c r="L52" s="681"/>
      <c r="M52" s="721"/>
      <c r="N52" s="722"/>
      <c r="O52" s="722"/>
      <c r="P52" s="723"/>
      <c r="Q52" s="1079"/>
      <c r="R52" s="554"/>
      <c r="S52" s="680">
        <f t="shared" si="1"/>
        <v>0</v>
      </c>
      <c r="T52" s="696"/>
      <c r="U52" s="696"/>
      <c r="V52" s="694"/>
      <c r="W52" s="530">
        <f t="shared" si="37"/>
        <v>0</v>
      </c>
      <c r="X52" s="1084">
        <f t="shared" si="7"/>
        <v>0</v>
      </c>
      <c r="Y52" s="481">
        <f t="shared" si="38"/>
        <v>0</v>
      </c>
      <c r="Z52" s="644">
        <f t="shared" si="39"/>
        <v>0</v>
      </c>
      <c r="AA52" s="794">
        <f t="shared" si="40"/>
        <v>0</v>
      </c>
      <c r="AB52" s="488">
        <f t="shared" si="41"/>
        <v>0</v>
      </c>
      <c r="AC52" s="488">
        <f t="shared" si="42"/>
        <v>0</v>
      </c>
      <c r="AD52" s="725"/>
      <c r="AE52" s="488">
        <f t="shared" si="45"/>
        <v>0</v>
      </c>
      <c r="AF52" s="1072"/>
      <c r="AG52" s="723"/>
      <c r="AH52" s="554"/>
      <c r="AI52" s="644">
        <f t="shared" si="16"/>
        <v>0</v>
      </c>
      <c r="AJ52" s="554"/>
      <c r="AK52" s="481">
        <f t="shared" si="43"/>
        <v>0</v>
      </c>
      <c r="AL52" s="696"/>
      <c r="AM52" s="696"/>
      <c r="AN52" s="694"/>
      <c r="AO52" s="683"/>
      <c r="AP52" s="1067"/>
      <c r="AQ52" s="481">
        <f t="shared" si="44"/>
        <v>0</v>
      </c>
      <c r="AR52" s="481">
        <f t="shared" si="46"/>
        <v>0</v>
      </c>
      <c r="AS52" s="1057"/>
      <c r="AT52" s="481">
        <f t="shared" si="47"/>
        <v>0</v>
      </c>
      <c r="AU52" s="481">
        <f t="shared" si="48"/>
        <v>0</v>
      </c>
      <c r="AV52" s="722"/>
      <c r="AW52" s="722"/>
      <c r="AX52" s="723"/>
    </row>
    <row r="53" spans="1:50" ht="16.5" thickBot="1" x14ac:dyDescent="0.35">
      <c r="A53" s="543" t="s">
        <v>627</v>
      </c>
      <c r="B53" s="1061"/>
      <c r="C53" s="1067"/>
      <c r="D53" s="1067"/>
      <c r="E53" s="1067"/>
      <c r="F53" s="708"/>
      <c r="G53" s="1077"/>
      <c r="H53" s="1078"/>
      <c r="I53" s="722"/>
      <c r="J53" s="722"/>
      <c r="K53" s="1061"/>
      <c r="L53" s="723"/>
      <c r="M53" s="555"/>
      <c r="N53" s="1067"/>
      <c r="O53" s="1067"/>
      <c r="P53" s="708"/>
      <c r="Q53" s="1077"/>
      <c r="R53" s="1078"/>
      <c r="S53" s="680">
        <f t="shared" si="1"/>
        <v>0</v>
      </c>
      <c r="T53" s="722"/>
      <c r="U53" s="722"/>
      <c r="V53" s="1062"/>
      <c r="W53" s="1080">
        <f t="shared" si="37"/>
        <v>0</v>
      </c>
      <c r="X53" s="1081">
        <f t="shared" si="7"/>
        <v>0</v>
      </c>
      <c r="Y53" s="650">
        <f t="shared" si="38"/>
        <v>0</v>
      </c>
      <c r="Z53" s="648">
        <f t="shared" si="39"/>
        <v>0</v>
      </c>
      <c r="AA53" s="1086">
        <f t="shared" si="40"/>
        <v>0</v>
      </c>
      <c r="AB53" s="651">
        <f t="shared" si="41"/>
        <v>0</v>
      </c>
      <c r="AC53" s="1060">
        <f>IF(AA53&gt;0,0.7*T$8*W$4/W$6*720*8/8760,0)</f>
        <v>0</v>
      </c>
      <c r="AD53" s="1050"/>
      <c r="AE53" s="1060">
        <f t="shared" si="45"/>
        <v>0</v>
      </c>
      <c r="AF53" s="1068"/>
      <c r="AG53" s="1062"/>
      <c r="AH53" s="721"/>
      <c r="AI53" s="652">
        <f t="shared" si="16"/>
        <v>0</v>
      </c>
      <c r="AJ53" s="721"/>
      <c r="AK53" s="481">
        <f t="shared" si="43"/>
        <v>0</v>
      </c>
      <c r="AL53" s="722"/>
      <c r="AM53" s="722"/>
      <c r="AN53" s="723"/>
      <c r="AO53" s="683"/>
      <c r="AP53" s="1061"/>
      <c r="AQ53" s="651">
        <f t="shared" si="44"/>
        <v>0</v>
      </c>
      <c r="AR53" s="651">
        <f t="shared" si="46"/>
        <v>0</v>
      </c>
      <c r="AS53" s="1058"/>
      <c r="AT53" s="1060">
        <f t="shared" si="47"/>
        <v>0</v>
      </c>
      <c r="AU53" s="1060">
        <f t="shared" si="48"/>
        <v>0</v>
      </c>
      <c r="AV53" s="1061"/>
      <c r="AW53" s="1061"/>
      <c r="AX53" s="1062"/>
    </row>
    <row r="54" spans="1:50" s="114" customFormat="1" ht="16.5" thickBot="1" x14ac:dyDescent="0.35">
      <c r="A54" s="556" t="s">
        <v>630</v>
      </c>
      <c r="B54" s="653">
        <f>IF(B53&gt;0,B53,SUM(B41:B52))</f>
        <v>0</v>
      </c>
      <c r="C54" s="653">
        <f t="shared" ref="C54:V54" si="49">IF(C53&gt;0,C53,SUM(C41:C52))</f>
        <v>0</v>
      </c>
      <c r="D54" s="653">
        <f t="shared" si="49"/>
        <v>0</v>
      </c>
      <c r="E54" s="653">
        <f t="shared" si="49"/>
        <v>0</v>
      </c>
      <c r="F54" s="1083">
        <f t="shared" si="49"/>
        <v>0</v>
      </c>
      <c r="G54" s="1083">
        <f t="shared" si="49"/>
        <v>0</v>
      </c>
      <c r="H54" s="655">
        <f t="shared" si="49"/>
        <v>0</v>
      </c>
      <c r="I54" s="653">
        <f t="shared" si="49"/>
        <v>0</v>
      </c>
      <c r="J54" s="653">
        <f t="shared" si="49"/>
        <v>0</v>
      </c>
      <c r="K54" s="653">
        <f t="shared" si="49"/>
        <v>0</v>
      </c>
      <c r="L54" s="1083">
        <f t="shared" si="49"/>
        <v>0</v>
      </c>
      <c r="M54" s="655">
        <f>IF(M53&gt;0,M53,SUM(M41:M52))</f>
        <v>0</v>
      </c>
      <c r="N54" s="653">
        <f>IF(N53&gt;0,N53,SUM(N41:N52))</f>
        <v>0</v>
      </c>
      <c r="O54" s="653">
        <f>IF(O53&gt;0,O53,SUM(O41:O52))</f>
        <v>0</v>
      </c>
      <c r="P54" s="1083">
        <f>IF(P53&gt;0,P53,SUM(P41:P52))</f>
        <v>0</v>
      </c>
      <c r="Q54" s="656">
        <f t="shared" si="49"/>
        <v>0</v>
      </c>
      <c r="R54" s="655">
        <f t="shared" si="49"/>
        <v>0</v>
      </c>
      <c r="S54" s="653">
        <f t="shared" si="49"/>
        <v>0</v>
      </c>
      <c r="T54" s="653">
        <f t="shared" si="49"/>
        <v>0</v>
      </c>
      <c r="U54" s="653">
        <f t="shared" si="49"/>
        <v>0</v>
      </c>
      <c r="V54" s="1083">
        <f t="shared" si="49"/>
        <v>0</v>
      </c>
      <c r="W54" s="655">
        <f t="shared" ref="W54:AC54" si="50">IF(W53&gt;0,W53,SUM(W41:W52))</f>
        <v>0</v>
      </c>
      <c r="X54" s="653">
        <f t="shared" si="50"/>
        <v>0</v>
      </c>
      <c r="Y54" s="653">
        <f t="shared" si="50"/>
        <v>0</v>
      </c>
      <c r="Z54" s="1083">
        <f t="shared" si="50"/>
        <v>0</v>
      </c>
      <c r="AA54" s="1087">
        <f t="shared" si="50"/>
        <v>0</v>
      </c>
      <c r="AB54" s="657">
        <f t="shared" si="50"/>
        <v>0</v>
      </c>
      <c r="AC54" s="653">
        <f t="shared" si="50"/>
        <v>0</v>
      </c>
      <c r="AD54" s="1048" t="str">
        <f>IF(AD53&gt;0,AD53,"-")</f>
        <v>-</v>
      </c>
      <c r="AE54" s="653">
        <f t="shared" ref="AE54:AK54" si="51">IF(AE53&gt;0,AE53,SUM(AE41:AE52))</f>
        <v>0</v>
      </c>
      <c r="AF54" s="653">
        <f t="shared" si="51"/>
        <v>0</v>
      </c>
      <c r="AG54" s="654">
        <f t="shared" si="51"/>
        <v>0</v>
      </c>
      <c r="AH54" s="655">
        <f t="shared" si="51"/>
        <v>0</v>
      </c>
      <c r="AI54" s="656">
        <f t="shared" si="51"/>
        <v>0</v>
      </c>
      <c r="AJ54" s="520">
        <f t="shared" si="51"/>
        <v>0</v>
      </c>
      <c r="AK54" s="520">
        <f t="shared" si="51"/>
        <v>0</v>
      </c>
      <c r="AL54" s="658">
        <f t="shared" ref="AL54:AR54" si="52">IF(AL53&gt;0,AL53,SUM(AL41:AL52))</f>
        <v>0</v>
      </c>
      <c r="AM54" s="658">
        <f t="shared" si="52"/>
        <v>0</v>
      </c>
      <c r="AN54" s="659">
        <f t="shared" si="52"/>
        <v>0</v>
      </c>
      <c r="AO54" s="520">
        <f t="shared" si="52"/>
        <v>0</v>
      </c>
      <c r="AP54" s="547">
        <f t="shared" si="52"/>
        <v>0</v>
      </c>
      <c r="AQ54" s="547">
        <f t="shared" si="52"/>
        <v>0</v>
      </c>
      <c r="AR54" s="547">
        <f t="shared" si="52"/>
        <v>0</v>
      </c>
      <c r="AS54" s="1059" t="str">
        <f>IF(AS53&gt;0,AS53,"-")</f>
        <v>-</v>
      </c>
      <c r="AT54" s="658">
        <f>IF(AT53&gt;0,AT53,SUM(AT41:AT52))</f>
        <v>0</v>
      </c>
      <c r="AU54" s="658">
        <f>IF(AU53&gt;0,AU53,SUM(AU41:AU52))</f>
        <v>0</v>
      </c>
      <c r="AV54" s="547">
        <f>IF(AV53&gt;0,AV53,SUM(AV41:AV52))</f>
        <v>0</v>
      </c>
      <c r="AW54" s="547">
        <f>IF(AW53&gt;0,AW53,SUM(AW41:AW52))</f>
        <v>0</v>
      </c>
      <c r="AX54" s="1063">
        <f>IF(AX53&gt;0,AX53,SUM(AX41:AX52))</f>
        <v>0</v>
      </c>
    </row>
    <row r="55" spans="1:50" ht="10.5" customHeight="1" x14ac:dyDescent="0.25"/>
    <row r="56" spans="1:50" x14ac:dyDescent="0.25">
      <c r="Z56" s="402" t="s">
        <v>631</v>
      </c>
    </row>
    <row r="57" spans="1:50" x14ac:dyDescent="0.25">
      <c r="Z57" s="21" t="s">
        <v>632</v>
      </c>
    </row>
    <row r="58" spans="1:50" x14ac:dyDescent="0.25">
      <c r="Z58" s="21" t="s">
        <v>633</v>
      </c>
    </row>
    <row r="59" spans="1:50" x14ac:dyDescent="0.25">
      <c r="Z59" s="21" t="s">
        <v>634</v>
      </c>
    </row>
    <row r="60" spans="1:50" x14ac:dyDescent="0.25">
      <c r="Z60" s="21" t="s">
        <v>635</v>
      </c>
    </row>
    <row r="61" spans="1:50" x14ac:dyDescent="0.25">
      <c r="Z61" s="21" t="s">
        <v>636</v>
      </c>
    </row>
    <row r="62" spans="1:50" x14ac:dyDescent="0.25">
      <c r="Z62" s="21" t="s">
        <v>637</v>
      </c>
    </row>
    <row r="63" spans="1:50" x14ac:dyDescent="0.25">
      <c r="Z63" s="21" t="s">
        <v>638</v>
      </c>
      <c r="AF63" s="21" t="s">
        <v>639</v>
      </c>
    </row>
    <row r="64" spans="1:50" x14ac:dyDescent="0.25">
      <c r="AF64" s="21" t="s">
        <v>640</v>
      </c>
    </row>
    <row r="65" spans="32:32" x14ac:dyDescent="0.25">
      <c r="AF65" s="21" t="s">
        <v>641</v>
      </c>
    </row>
    <row r="66" spans="32:32" x14ac:dyDescent="0.25">
      <c r="AF66" s="21" t="s">
        <v>642</v>
      </c>
    </row>
    <row r="67" spans="32:32" x14ac:dyDescent="0.25">
      <c r="AF67" s="21" t="s">
        <v>643</v>
      </c>
    </row>
    <row r="68" spans="32:32" x14ac:dyDescent="0.25">
      <c r="AF68" s="21" t="s">
        <v>644</v>
      </c>
    </row>
    <row r="69" spans="32:32" x14ac:dyDescent="0.25">
      <c r="AF69" s="21" t="s">
        <v>645</v>
      </c>
    </row>
    <row r="70" spans="32:32" x14ac:dyDescent="0.25">
      <c r="AF70" s="21" t="s">
        <v>646</v>
      </c>
    </row>
  </sheetData>
  <sheetProtection algorithmName="SHA-512" hashValue="H13htu4mY0S8Z11QE8nFo8CPZ9b2Q7Ar0ZEK0FJJERYE0gBfU36VarQvtQzg/jfA19R+sdq8RBp0L9WYZAD7kw==" saltValue="4HyWHOak2YWPvbNisCP6wA==" spinCount="100000" sheet="1" autoFilter="0"/>
  <mergeCells count="10">
    <mergeCell ref="AF2:AF3"/>
    <mergeCell ref="AG2:AG3"/>
    <mergeCell ref="AI2:AI3"/>
    <mergeCell ref="AH2:AH3"/>
    <mergeCell ref="AE2:AE3"/>
    <mergeCell ref="AD2:AD3"/>
    <mergeCell ref="I5:L5"/>
    <mergeCell ref="I7:L7"/>
    <mergeCell ref="I8:L8"/>
    <mergeCell ref="I6:L6"/>
  </mergeCells>
  <pageMargins left="0.70866141732283472" right="0.70866141732283472" top="0.52" bottom="0.42" header="0.31496062992125984" footer="0.31496062992125984"/>
  <pageSetup paperSize="9"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9">
    <pageSetUpPr fitToPage="1"/>
  </sheetPr>
  <dimension ref="B1:AR89"/>
  <sheetViews>
    <sheetView zoomScale="70" zoomScaleNormal="70" workbookViewId="0">
      <selection activeCell="L66" sqref="L66"/>
    </sheetView>
  </sheetViews>
  <sheetFormatPr defaultColWidth="8.7109375" defaultRowHeight="15" x14ac:dyDescent="0.25"/>
  <cols>
    <col min="1" max="1" width="1.5703125" style="21" customWidth="1"/>
    <col min="2" max="2" width="27.7109375" style="21" customWidth="1"/>
    <col min="3" max="3" width="14.85546875" style="21" customWidth="1"/>
    <col min="4" max="4" width="17.7109375" style="21" customWidth="1"/>
    <col min="5" max="5" width="14.7109375" style="21" customWidth="1"/>
    <col min="6" max="6" width="15.42578125" style="21" customWidth="1"/>
    <col min="7" max="7" width="0.5703125" style="21" customWidth="1"/>
    <col min="8" max="8" width="17.5703125" style="21" customWidth="1"/>
    <col min="9" max="9" width="16.140625" style="21" customWidth="1"/>
    <col min="10" max="10" width="14.42578125" style="21" customWidth="1"/>
    <col min="11" max="11" width="37.28515625" style="21" customWidth="1"/>
    <col min="12" max="12" width="55.28515625" style="21" customWidth="1"/>
    <col min="13" max="13" width="23.42578125" style="21" customWidth="1"/>
    <col min="14" max="14" width="1.28515625" style="21" customWidth="1"/>
    <col min="15" max="16384" width="8.7109375" style="21"/>
  </cols>
  <sheetData>
    <row r="1" spans="2:13" ht="9" customHeight="1" x14ac:dyDescent="0.25"/>
    <row r="2" spans="2:13" ht="21" x14ac:dyDescent="0.35">
      <c r="C2" s="450" t="s">
        <v>647</v>
      </c>
      <c r="E2" s="114"/>
      <c r="F2" s="114"/>
      <c r="G2" s="114"/>
    </row>
    <row r="3" spans="2:13" ht="15.75" x14ac:dyDescent="0.3">
      <c r="C3" s="114" t="s">
        <v>648</v>
      </c>
      <c r="D3" s="115"/>
    </row>
    <row r="4" spans="2:13" ht="15.75" x14ac:dyDescent="0.3">
      <c r="B4" s="115"/>
      <c r="C4" s="451" t="s">
        <v>482</v>
      </c>
      <c r="D4" s="1330">
        <f>'A. Byggnadsinfo med BBR'!C9</f>
        <v>0</v>
      </c>
      <c r="E4" s="1331"/>
      <c r="F4" s="1292"/>
      <c r="G4" s="726"/>
      <c r="L4" s="115"/>
      <c r="M4" s="115"/>
    </row>
    <row r="5" spans="2:13" ht="19.5" x14ac:dyDescent="0.35">
      <c r="B5" s="19" t="s">
        <v>282</v>
      </c>
      <c r="C5" s="115"/>
      <c r="D5" s="115"/>
      <c r="E5" s="115"/>
      <c r="F5" s="115"/>
      <c r="G5" s="115"/>
      <c r="I5" s="115"/>
      <c r="J5" s="115"/>
      <c r="K5" s="115"/>
      <c r="M5" s="182"/>
    </row>
    <row r="6" spans="2:13" ht="15.75" x14ac:dyDescent="0.3">
      <c r="B6" s="114" t="s">
        <v>649</v>
      </c>
      <c r="C6" s="115"/>
      <c r="D6" s="115"/>
      <c r="E6" s="115"/>
      <c r="F6" s="115"/>
      <c r="G6" s="115"/>
      <c r="H6" s="115"/>
      <c r="J6" s="115"/>
      <c r="K6" s="115"/>
      <c r="M6" s="115"/>
    </row>
    <row r="7" spans="2:13" ht="2.25" customHeight="1" thickBot="1" x14ac:dyDescent="0.35">
      <c r="B7" s="115"/>
      <c r="C7" s="115"/>
      <c r="D7" s="115"/>
      <c r="E7" s="115"/>
      <c r="F7" s="115"/>
      <c r="G7" s="115"/>
      <c r="H7" s="115"/>
      <c r="J7" s="115"/>
      <c r="K7" s="115"/>
      <c r="M7" s="115"/>
    </row>
    <row r="8" spans="2:13" ht="15.75" x14ac:dyDescent="0.3">
      <c r="B8" s="1340" t="s">
        <v>530</v>
      </c>
      <c r="C8" s="1342" t="s">
        <v>531</v>
      </c>
      <c r="D8" s="1314" t="s">
        <v>532</v>
      </c>
      <c r="E8" s="1314" t="s">
        <v>533</v>
      </c>
      <c r="F8" s="1314" t="s">
        <v>534</v>
      </c>
      <c r="G8" s="115"/>
      <c r="H8" s="1332" t="s">
        <v>650</v>
      </c>
      <c r="I8" s="1355" t="s">
        <v>104</v>
      </c>
      <c r="J8" s="1368"/>
      <c r="K8" s="1369"/>
    </row>
    <row r="9" spans="2:13" ht="15" customHeight="1" thickBot="1" x14ac:dyDescent="0.35">
      <c r="B9" s="1341"/>
      <c r="C9" s="1343"/>
      <c r="D9" s="1343"/>
      <c r="E9" s="1343"/>
      <c r="F9" s="1343"/>
      <c r="G9" s="115"/>
      <c r="H9" s="1348"/>
      <c r="I9" s="1370"/>
      <c r="J9" s="1371"/>
      <c r="K9" s="1372"/>
    </row>
    <row r="10" spans="2:13" ht="18.75" x14ac:dyDescent="0.35">
      <c r="B10" s="479" t="s">
        <v>505</v>
      </c>
      <c r="C10" s="567" t="s">
        <v>544</v>
      </c>
      <c r="D10" s="665"/>
      <c r="E10" s="665"/>
      <c r="F10" s="727">
        <f>E10-D10</f>
        <v>0</v>
      </c>
      <c r="G10" s="115"/>
      <c r="H10" s="567" t="s">
        <v>651</v>
      </c>
      <c r="I10" s="1373"/>
      <c r="J10" s="1373"/>
      <c r="K10" s="1374"/>
    </row>
    <row r="11" spans="2:13" ht="15.75" x14ac:dyDescent="0.3">
      <c r="B11" s="483" t="s">
        <v>540</v>
      </c>
      <c r="C11" s="728" t="s">
        <v>468</v>
      </c>
      <c r="D11" s="764"/>
      <c r="E11" s="764"/>
      <c r="F11" s="729">
        <f t="shared" ref="F11:F18" si="0">E11-D11</f>
        <v>0</v>
      </c>
      <c r="G11" s="115"/>
      <c r="H11" s="728" t="s">
        <v>652</v>
      </c>
      <c r="I11" s="1375"/>
      <c r="J11" s="1375"/>
      <c r="K11" s="1376"/>
    </row>
    <row r="12" spans="2:13" ht="15.75" x14ac:dyDescent="0.3">
      <c r="B12" s="483" t="s">
        <v>653</v>
      </c>
      <c r="C12" s="728" t="s">
        <v>468</v>
      </c>
      <c r="D12" s="764"/>
      <c r="E12" s="764"/>
      <c r="F12" s="729">
        <f t="shared" si="0"/>
        <v>0</v>
      </c>
      <c r="G12" s="115"/>
      <c r="H12" s="728" t="s">
        <v>652</v>
      </c>
      <c r="I12" s="1377"/>
      <c r="J12" s="1377"/>
      <c r="K12" s="1376"/>
    </row>
    <row r="13" spans="2:13" ht="15.75" x14ac:dyDescent="0.3">
      <c r="B13" s="483" t="s">
        <v>654</v>
      </c>
      <c r="C13" s="728" t="s">
        <v>655</v>
      </c>
      <c r="D13" s="764"/>
      <c r="E13" s="764"/>
      <c r="F13" s="729">
        <f t="shared" si="0"/>
        <v>0</v>
      </c>
      <c r="G13" s="115"/>
      <c r="H13" s="728"/>
      <c r="I13" s="1375"/>
      <c r="J13" s="1375"/>
      <c r="K13" s="1376"/>
    </row>
    <row r="14" spans="2:13" ht="15.75" x14ac:dyDescent="0.3">
      <c r="B14" s="483" t="s">
        <v>656</v>
      </c>
      <c r="C14" s="728" t="s">
        <v>655</v>
      </c>
      <c r="D14" s="764"/>
      <c r="E14" s="764"/>
      <c r="F14" s="729">
        <f t="shared" si="0"/>
        <v>0</v>
      </c>
      <c r="G14" s="115"/>
      <c r="H14" s="728"/>
      <c r="I14" s="1375"/>
      <c r="J14" s="1375"/>
      <c r="K14" s="1376"/>
    </row>
    <row r="15" spans="2:13" ht="18.75" x14ac:dyDescent="0.35">
      <c r="B15" s="483" t="s">
        <v>657</v>
      </c>
      <c r="C15" s="728" t="s">
        <v>658</v>
      </c>
      <c r="D15" s="764"/>
      <c r="E15" s="764"/>
      <c r="F15" s="729">
        <f t="shared" si="0"/>
        <v>0</v>
      </c>
      <c r="G15" s="115"/>
      <c r="H15" s="728"/>
      <c r="I15" s="1375"/>
      <c r="J15" s="1375"/>
      <c r="K15" s="1376"/>
    </row>
    <row r="16" spans="2:13" ht="18.75" x14ac:dyDescent="0.35">
      <c r="B16" s="483" t="s">
        <v>659</v>
      </c>
      <c r="C16" s="728" t="s">
        <v>658</v>
      </c>
      <c r="D16" s="764"/>
      <c r="E16" s="764"/>
      <c r="F16" s="729">
        <f t="shared" si="0"/>
        <v>0</v>
      </c>
      <c r="G16" s="115"/>
      <c r="H16" s="728"/>
      <c r="I16" s="1375"/>
      <c r="J16" s="1375"/>
      <c r="K16" s="1376"/>
    </row>
    <row r="17" spans="2:11" ht="18.75" x14ac:dyDescent="0.35">
      <c r="B17" s="483" t="s">
        <v>543</v>
      </c>
      <c r="C17" s="730" t="s">
        <v>544</v>
      </c>
      <c r="D17" s="765"/>
      <c r="E17" s="765"/>
      <c r="F17" s="729">
        <f t="shared" si="0"/>
        <v>0</v>
      </c>
      <c r="G17" s="115"/>
      <c r="H17" s="728" t="s">
        <v>660</v>
      </c>
      <c r="I17" s="1375"/>
      <c r="J17" s="1375"/>
      <c r="K17" s="1376"/>
    </row>
    <row r="18" spans="2:11" ht="16.5" thickBot="1" x14ac:dyDescent="0.35">
      <c r="B18" s="731" t="s">
        <v>661</v>
      </c>
      <c r="C18" s="763"/>
      <c r="D18" s="666"/>
      <c r="E18" s="666"/>
      <c r="F18" s="732">
        <f t="shared" si="0"/>
        <v>0</v>
      </c>
      <c r="G18" s="115"/>
      <c r="H18" s="578"/>
      <c r="I18" s="1375"/>
      <c r="J18" s="1375"/>
      <c r="K18" s="1376"/>
    </row>
    <row r="19" spans="2:11" ht="6" customHeight="1" x14ac:dyDescent="0.3">
      <c r="G19" s="115"/>
    </row>
    <row r="20" spans="2:11" ht="15.75" x14ac:dyDescent="0.3">
      <c r="B20" s="114" t="s">
        <v>662</v>
      </c>
      <c r="G20" s="115"/>
    </row>
    <row r="21" spans="2:11" ht="3" customHeight="1" thickBot="1" x14ac:dyDescent="0.35">
      <c r="G21" s="115"/>
    </row>
    <row r="22" spans="2:11" ht="15.75" customHeight="1" x14ac:dyDescent="0.3">
      <c r="B22" s="1324" t="s">
        <v>663</v>
      </c>
      <c r="C22" s="1325"/>
      <c r="D22" s="1335" t="s">
        <v>664</v>
      </c>
      <c r="E22" s="1314" t="s">
        <v>665</v>
      </c>
      <c r="F22" s="1332" t="s">
        <v>666</v>
      </c>
      <c r="G22" s="115"/>
      <c r="H22" s="1338" t="str">
        <f>D22</f>
        <v>Beräknat enl. relationshandling</v>
      </c>
      <c r="I22" s="1332" t="str">
        <f>E22</f>
        <v>Beräknat för år 1</v>
      </c>
      <c r="J22" s="1340" t="s">
        <v>104</v>
      </c>
      <c r="K22" s="1367"/>
    </row>
    <row r="23" spans="2:11" ht="15.75" x14ac:dyDescent="0.3">
      <c r="B23" s="1326"/>
      <c r="C23" s="1327"/>
      <c r="D23" s="1336"/>
      <c r="E23" s="1315"/>
      <c r="F23" s="1337"/>
      <c r="G23" s="115"/>
      <c r="H23" s="1339"/>
      <c r="I23" s="1337"/>
      <c r="J23" s="1356"/>
      <c r="K23" s="1357"/>
    </row>
    <row r="24" spans="2:11" ht="17.25" thickBot="1" x14ac:dyDescent="0.35">
      <c r="B24" s="950"/>
      <c r="C24" s="628"/>
      <c r="D24" s="527" t="s">
        <v>238</v>
      </c>
      <c r="E24" s="473" t="s">
        <v>238</v>
      </c>
      <c r="F24" s="733" t="s">
        <v>307</v>
      </c>
      <c r="G24" s="115"/>
      <c r="H24" s="734" t="s">
        <v>667</v>
      </c>
      <c r="I24" s="735" t="s">
        <v>668</v>
      </c>
      <c r="J24" s="1358"/>
      <c r="K24" s="1359"/>
    </row>
    <row r="25" spans="2:11" ht="15.75" x14ac:dyDescent="0.3">
      <c r="B25" s="52"/>
      <c r="C25" s="743" t="s">
        <v>669</v>
      </c>
      <c r="D25" s="736">
        <f>'B1. Resultat beräkning'!D5-'B1. Resultat beräkning'!D6</f>
        <v>0</v>
      </c>
      <c r="E25" s="766"/>
      <c r="F25" s="737">
        <f t="shared" ref="F25:F31" si="1">IF(D25&gt;0,E25/D25,1)</f>
        <v>1</v>
      </c>
      <c r="G25" s="115"/>
      <c r="H25" s="850">
        <f>IFERROR(D25/'A. Byggnadsinfo med BBR'!$E$43,0)</f>
        <v>0</v>
      </c>
      <c r="I25" s="851">
        <f>IFERROR(E25/'A. Byggnadsinfo med BBR'!$E$43,0)</f>
        <v>0</v>
      </c>
      <c r="J25" s="1360"/>
      <c r="K25" s="1361"/>
    </row>
    <row r="26" spans="2:11" ht="15.75" x14ac:dyDescent="0.3">
      <c r="B26" s="52"/>
      <c r="C26" s="738" t="s">
        <v>505</v>
      </c>
      <c r="D26" s="739">
        <f>'B1. Resultat beräkning'!D11</f>
        <v>0</v>
      </c>
      <c r="E26" s="677"/>
      <c r="F26" s="740">
        <f t="shared" si="1"/>
        <v>1</v>
      </c>
      <c r="G26" s="115"/>
      <c r="H26" s="852">
        <f>IFERROR(D26/'A. Byggnadsinfo med BBR'!$E$43,0)</f>
        <v>0</v>
      </c>
      <c r="I26" s="853">
        <f>IFERROR(E26/'A. Byggnadsinfo med BBR'!$E$43,0)</f>
        <v>0</v>
      </c>
      <c r="J26" s="1362"/>
      <c r="K26" s="1363"/>
    </row>
    <row r="27" spans="2:11" ht="15.75" x14ac:dyDescent="0.3">
      <c r="B27" s="52"/>
      <c r="C27" s="738" t="s">
        <v>116</v>
      </c>
      <c r="D27" s="741">
        <f>'B1. Resultat beräkning'!D6</f>
        <v>0</v>
      </c>
      <c r="E27" s="677"/>
      <c r="F27" s="742">
        <f t="shared" si="1"/>
        <v>1</v>
      </c>
      <c r="G27" s="115"/>
      <c r="H27" s="854">
        <f>IFERROR(D27/'A. Byggnadsinfo med BBR'!$E$43,0)</f>
        <v>0</v>
      </c>
      <c r="I27" s="853">
        <f>IFERROR(E27/'A. Byggnadsinfo med BBR'!$E$43,0)</f>
        <v>0</v>
      </c>
      <c r="J27" s="1260"/>
      <c r="K27" s="1261"/>
    </row>
    <row r="28" spans="2:11" ht="15.75" x14ac:dyDescent="0.3">
      <c r="B28" s="52"/>
      <c r="C28" s="743" t="s">
        <v>670</v>
      </c>
      <c r="D28" s="744">
        <f>'B1. Resultat beräkning'!D12</f>
        <v>0</v>
      </c>
      <c r="E28" s="767"/>
      <c r="F28" s="742">
        <f t="shared" si="1"/>
        <v>1</v>
      </c>
      <c r="G28" s="115"/>
      <c r="H28" s="854">
        <f>IFERROR(D28/'A. Byggnadsinfo med BBR'!$E$43,0)</f>
        <v>0</v>
      </c>
      <c r="I28" s="853">
        <f>IFERROR(E28/'A. Byggnadsinfo med BBR'!$E$43,0)</f>
        <v>0</v>
      </c>
      <c r="J28" s="1364"/>
      <c r="K28" s="1363"/>
    </row>
    <row r="29" spans="2:11" ht="15.75" x14ac:dyDescent="0.3">
      <c r="B29" s="52"/>
      <c r="C29" s="743" t="s">
        <v>101</v>
      </c>
      <c r="D29" s="744">
        <f>'B1. Resultat beräkning'!D14</f>
        <v>0</v>
      </c>
      <c r="E29" s="767"/>
      <c r="F29" s="742">
        <f t="shared" si="1"/>
        <v>1</v>
      </c>
      <c r="G29" s="115"/>
      <c r="H29" s="854">
        <f>IFERROR(D29/'A. Byggnadsinfo med BBR'!$E$43,0)</f>
        <v>0</v>
      </c>
      <c r="I29" s="853">
        <f>IFERROR(E29/'A. Byggnadsinfo med BBR'!$E$43,0)</f>
        <v>0</v>
      </c>
      <c r="J29" s="1364"/>
      <c r="K29" s="1363"/>
    </row>
    <row r="30" spans="2:11" ht="15.75" x14ac:dyDescent="0.3">
      <c r="B30" s="52"/>
      <c r="C30" s="743" t="s">
        <v>671</v>
      </c>
      <c r="D30" s="744">
        <f>'B1. Resultat beräkning'!D16</f>
        <v>0</v>
      </c>
      <c r="E30" s="767"/>
      <c r="F30" s="742">
        <f t="shared" si="1"/>
        <v>1</v>
      </c>
      <c r="G30" s="115"/>
      <c r="H30" s="854">
        <f>IFERROR(D30/'A. Byggnadsinfo med BBR'!$E$43,0)</f>
        <v>0</v>
      </c>
      <c r="I30" s="853">
        <f>IFERROR(E30/'A. Byggnadsinfo med BBR'!$E$43,0)</f>
        <v>0</v>
      </c>
      <c r="J30" s="1364"/>
      <c r="K30" s="1363"/>
    </row>
    <row r="31" spans="2:11" ht="15.75" x14ac:dyDescent="0.3">
      <c r="B31" s="745"/>
      <c r="C31" s="746" t="s">
        <v>543</v>
      </c>
      <c r="D31" s="747">
        <f>'B1. Resultat beräkning'!D21</f>
        <v>0</v>
      </c>
      <c r="E31" s="763"/>
      <c r="F31" s="748">
        <f t="shared" si="1"/>
        <v>1</v>
      </c>
      <c r="G31" s="115"/>
      <c r="H31" s="855">
        <f>IFERROR(D31/'A. Byggnadsinfo med BBR'!$E$43,0)</f>
        <v>0</v>
      </c>
      <c r="I31" s="856">
        <f>IFERROR(E31/'A. Byggnadsinfo med BBR'!$E$43,0)</f>
        <v>0</v>
      </c>
      <c r="J31" s="1365"/>
      <c r="K31" s="1366"/>
    </row>
    <row r="32" spans="2:11" ht="15.75" customHeight="1" x14ac:dyDescent="0.3">
      <c r="G32" s="115"/>
    </row>
    <row r="33" spans="2:44" ht="19.5" x14ac:dyDescent="0.35">
      <c r="B33" s="19" t="s">
        <v>10</v>
      </c>
      <c r="C33" s="19"/>
      <c r="D33" s="19"/>
      <c r="E33" s="19"/>
      <c r="F33" s="19"/>
      <c r="G33" s="115"/>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2:44" ht="15.75" x14ac:dyDescent="0.3">
      <c r="B34" s="114" t="str">
        <f>B6</f>
        <v xml:space="preserve">Tabell 1. Dokumenterande underlag för korrigering av avvikelser i brukande </v>
      </c>
      <c r="C34" s="115"/>
      <c r="D34" s="115"/>
      <c r="E34" s="115"/>
      <c r="F34" s="115"/>
      <c r="G34" s="115"/>
      <c r="H34" s="115"/>
      <c r="I34" s="115"/>
      <c r="J34" s="115"/>
      <c r="K34" s="115"/>
      <c r="L34" s="115"/>
    </row>
    <row r="35" spans="2:44" ht="2.25" customHeight="1" thickBot="1" x14ac:dyDescent="0.35">
      <c r="B35" s="115"/>
      <c r="C35" s="115"/>
      <c r="D35" s="115"/>
      <c r="E35" s="115"/>
      <c r="F35" s="115"/>
      <c r="G35" s="115"/>
      <c r="H35" s="115"/>
      <c r="I35" s="115"/>
      <c r="J35" s="115"/>
      <c r="K35" s="115"/>
      <c r="L35" s="115"/>
    </row>
    <row r="36" spans="2:44" ht="15.75" x14ac:dyDescent="0.3">
      <c r="B36" s="1340" t="str">
        <f>B8</f>
        <v>Indatavärden</v>
      </c>
      <c r="C36" s="1314" t="str">
        <f>C8</f>
        <v>Enhet</v>
      </c>
      <c r="D36" s="1314" t="str">
        <f>D8</f>
        <v>Beräknad brukarindata</v>
      </c>
      <c r="E36" s="1314" t="str">
        <f>E8</f>
        <v>Uppmätt brukarindata</v>
      </c>
      <c r="F36" s="1314" t="str">
        <f>F8</f>
        <v>Avvikelse brukarindata</v>
      </c>
      <c r="G36" s="115"/>
      <c r="H36" s="1332" t="str">
        <f>H8</f>
        <v>Icke försumbar avvikelse</v>
      </c>
      <c r="I36" s="1355" t="str">
        <f>I8</f>
        <v>Anm.</v>
      </c>
      <c r="J36" s="1155"/>
      <c r="K36" s="1125"/>
    </row>
    <row r="37" spans="2:44" ht="16.5" thickBot="1" x14ac:dyDescent="0.35">
      <c r="B37" s="1341"/>
      <c r="C37" s="1334"/>
      <c r="D37" s="1334"/>
      <c r="E37" s="1334"/>
      <c r="F37" s="1334"/>
      <c r="G37" s="115"/>
      <c r="H37" s="1333"/>
      <c r="I37" s="1347"/>
      <c r="J37" s="1343"/>
      <c r="K37" s="1348"/>
    </row>
    <row r="38" spans="2:44" ht="18.75" x14ac:dyDescent="0.35">
      <c r="B38" s="483" t="s">
        <v>505</v>
      </c>
      <c r="C38" s="728" t="s">
        <v>544</v>
      </c>
      <c r="D38" s="768"/>
      <c r="E38" s="768"/>
      <c r="F38" s="567">
        <f>E38-D38</f>
        <v>0</v>
      </c>
      <c r="G38" s="115"/>
      <c r="H38" s="567" t="s">
        <v>651</v>
      </c>
      <c r="I38" s="1349"/>
      <c r="J38" s="1350"/>
      <c r="K38" s="1351"/>
    </row>
    <row r="39" spans="2:44" ht="15.75" x14ac:dyDescent="0.3">
      <c r="B39" s="483" t="s">
        <v>540</v>
      </c>
      <c r="C39" s="728" t="s">
        <v>468</v>
      </c>
      <c r="D39" s="767"/>
      <c r="E39" s="767"/>
      <c r="F39" s="728">
        <f t="shared" ref="F39:F46" si="2">E39-D39</f>
        <v>0</v>
      </c>
      <c r="G39" s="115"/>
      <c r="H39" s="728" t="s">
        <v>652</v>
      </c>
      <c r="I39" s="1344"/>
      <c r="J39" s="1345"/>
      <c r="K39" s="1346"/>
    </row>
    <row r="40" spans="2:44" ht="15.75" x14ac:dyDescent="0.3">
      <c r="B40" s="483" t="s">
        <v>653</v>
      </c>
      <c r="C40" s="728" t="s">
        <v>468</v>
      </c>
      <c r="D40" s="767"/>
      <c r="E40" s="767"/>
      <c r="F40" s="728">
        <f t="shared" si="2"/>
        <v>0</v>
      </c>
      <c r="G40" s="115"/>
      <c r="H40" s="728" t="s">
        <v>652</v>
      </c>
      <c r="I40" s="1344"/>
      <c r="J40" s="1345"/>
      <c r="K40" s="1346"/>
    </row>
    <row r="41" spans="2:44" ht="15.75" x14ac:dyDescent="0.3">
      <c r="B41" s="483" t="s">
        <v>654</v>
      </c>
      <c r="C41" s="728" t="s">
        <v>655</v>
      </c>
      <c r="D41" s="767"/>
      <c r="E41" s="767"/>
      <c r="F41" s="728">
        <f t="shared" si="2"/>
        <v>0</v>
      </c>
      <c r="G41" s="115"/>
      <c r="H41" s="728"/>
      <c r="I41" s="1344"/>
      <c r="J41" s="1345"/>
      <c r="K41" s="1346"/>
    </row>
    <row r="42" spans="2:44" ht="15.75" x14ac:dyDescent="0.3">
      <c r="B42" s="483" t="s">
        <v>656</v>
      </c>
      <c r="C42" s="728" t="s">
        <v>655</v>
      </c>
      <c r="D42" s="767"/>
      <c r="E42" s="767"/>
      <c r="F42" s="728">
        <f t="shared" si="2"/>
        <v>0</v>
      </c>
      <c r="G42" s="115"/>
      <c r="H42" s="728"/>
      <c r="I42" s="1344"/>
      <c r="J42" s="1345"/>
      <c r="K42" s="1346"/>
    </row>
    <row r="43" spans="2:44" ht="18.75" x14ac:dyDescent="0.35">
      <c r="B43" s="483" t="s">
        <v>657</v>
      </c>
      <c r="C43" s="728" t="s">
        <v>658</v>
      </c>
      <c r="D43" s="767"/>
      <c r="E43" s="767"/>
      <c r="F43" s="728">
        <f t="shared" si="2"/>
        <v>0</v>
      </c>
      <c r="G43" s="115"/>
      <c r="H43" s="728"/>
      <c r="I43" s="1344"/>
      <c r="J43" s="1345"/>
      <c r="K43" s="1346"/>
    </row>
    <row r="44" spans="2:44" ht="18.75" x14ac:dyDescent="0.35">
      <c r="B44" s="483" t="s">
        <v>659</v>
      </c>
      <c r="C44" s="728" t="s">
        <v>658</v>
      </c>
      <c r="D44" s="767"/>
      <c r="E44" s="767"/>
      <c r="F44" s="728">
        <f t="shared" si="2"/>
        <v>0</v>
      </c>
      <c r="G44" s="115"/>
      <c r="H44" s="728"/>
      <c r="I44" s="1344"/>
      <c r="J44" s="1345"/>
      <c r="K44" s="1346"/>
    </row>
    <row r="45" spans="2:44" ht="18.75" x14ac:dyDescent="0.35">
      <c r="B45" s="483" t="s">
        <v>543</v>
      </c>
      <c r="C45" s="730" t="s">
        <v>544</v>
      </c>
      <c r="D45" s="769"/>
      <c r="E45" s="769"/>
      <c r="F45" s="728">
        <f t="shared" si="2"/>
        <v>0</v>
      </c>
      <c r="G45" s="115"/>
      <c r="H45" s="728" t="s">
        <v>660</v>
      </c>
      <c r="I45" s="1344"/>
      <c r="J45" s="1345"/>
      <c r="K45" s="1346"/>
    </row>
    <row r="46" spans="2:44" ht="16.5" thickBot="1" x14ac:dyDescent="0.35">
      <c r="B46" s="731" t="s">
        <v>661</v>
      </c>
      <c r="C46" s="763"/>
      <c r="D46" s="763"/>
      <c r="E46" s="763"/>
      <c r="F46" s="578">
        <f t="shared" si="2"/>
        <v>0</v>
      </c>
      <c r="G46" s="115"/>
      <c r="H46" s="578"/>
      <c r="I46" s="1352"/>
      <c r="J46" s="1353"/>
      <c r="K46" s="1354"/>
    </row>
    <row r="47" spans="2:44" ht="6" customHeight="1" x14ac:dyDescent="0.3">
      <c r="G47" s="115"/>
    </row>
    <row r="48" spans="2:44" ht="15.75" x14ac:dyDescent="0.3">
      <c r="B48" s="114" t="str">
        <f>B20</f>
        <v>Tabell 2. Resultat för korrigering vid beräkning med upprepad dynamisk energiberäkning</v>
      </c>
      <c r="G48" s="115"/>
    </row>
    <row r="49" spans="2:12" ht="3" customHeight="1" thickBot="1" x14ac:dyDescent="0.35">
      <c r="G49" s="115"/>
    </row>
    <row r="50" spans="2:12" ht="15.75" customHeight="1" x14ac:dyDescent="0.3">
      <c r="B50" s="1324" t="str">
        <f>B22</f>
        <v>Energiprestandapåverkan utdata</v>
      </c>
      <c r="C50" s="1325"/>
      <c r="D50" s="1335" t="s">
        <v>389</v>
      </c>
      <c r="E50" s="1314" t="s">
        <v>672</v>
      </c>
      <c r="F50" s="1332" t="str">
        <f>F22</f>
        <v>Korrigerings-divisor</v>
      </c>
      <c r="G50" s="115"/>
      <c r="H50" s="1338" t="str">
        <f>D50</f>
        <v>Beräknat efter renovering</v>
      </c>
      <c r="I50" s="1314" t="str">
        <f>E50</f>
        <v xml:space="preserve">Beräknat efter renovering </v>
      </c>
      <c r="J50" s="1316" t="str">
        <f>J22</f>
        <v>Anm.</v>
      </c>
      <c r="K50" s="1317"/>
    </row>
    <row r="51" spans="2:12" ht="15.75" x14ac:dyDescent="0.3">
      <c r="B51" s="1326"/>
      <c r="C51" s="1327"/>
      <c r="D51" s="1336"/>
      <c r="E51" s="1315"/>
      <c r="F51" s="1337"/>
      <c r="G51" s="115"/>
      <c r="H51" s="1339"/>
      <c r="I51" s="1315"/>
      <c r="J51" s="1318"/>
      <c r="K51" s="1319"/>
    </row>
    <row r="52" spans="2:12" ht="17.25" thickBot="1" x14ac:dyDescent="0.35">
      <c r="B52" s="1328"/>
      <c r="C52" s="1329"/>
      <c r="D52" s="527" t="s">
        <v>238</v>
      </c>
      <c r="E52" s="473" t="s">
        <v>238</v>
      </c>
      <c r="F52" s="526" t="s">
        <v>238</v>
      </c>
      <c r="G52" s="115"/>
      <c r="H52" s="749" t="s">
        <v>667</v>
      </c>
      <c r="I52" s="750" t="s">
        <v>668</v>
      </c>
      <c r="J52" s="1320"/>
      <c r="K52" s="1321"/>
    </row>
    <row r="53" spans="2:12" ht="15.75" x14ac:dyDescent="0.3">
      <c r="B53" s="52"/>
      <c r="C53" s="743" t="str">
        <f>C25</f>
        <v>Uppvärmning exkl TVV och VVC</v>
      </c>
      <c r="D53" s="736">
        <f>'B1. Resultat beräkning'!F5-'B1. Resultat beräkning'!F6</f>
        <v>0</v>
      </c>
      <c r="E53" s="766"/>
      <c r="F53" s="737">
        <f>IF(D53&gt;0,E53/D53,1)</f>
        <v>1</v>
      </c>
      <c r="G53" s="115"/>
      <c r="H53" s="751">
        <f>IFERROR(D53/'A. Byggnadsinfo med BBR'!$E$43,0)</f>
        <v>0</v>
      </c>
      <c r="I53" s="752">
        <f>IFERROR(E53/'A. Byggnadsinfo med BBR'!$E$43,0)</f>
        <v>0</v>
      </c>
      <c r="J53" s="1322"/>
      <c r="K53" s="1323"/>
    </row>
    <row r="54" spans="2:12" ht="15.75" x14ac:dyDescent="0.3">
      <c r="B54" s="52"/>
      <c r="C54" s="743" t="str">
        <f t="shared" ref="C54:C59" si="3">C26</f>
        <v>Tappvarmvatten</v>
      </c>
      <c r="D54" s="739">
        <f>'B1. Resultat beräkning'!F11</f>
        <v>0</v>
      </c>
      <c r="E54" s="767"/>
      <c r="F54" s="742">
        <f t="shared" ref="F54:F59" si="4">IF(D54&gt;0,E54/D54,1)</f>
        <v>1</v>
      </c>
      <c r="G54" s="115"/>
      <c r="H54" s="753">
        <f>IFERROR(D54/'A. Byggnadsinfo med BBR'!$E$43,0)</f>
        <v>0</v>
      </c>
      <c r="I54" s="754">
        <f>IFERROR(E54/'A. Byggnadsinfo med BBR'!$E$43,0)</f>
        <v>0</v>
      </c>
      <c r="J54" s="1310"/>
      <c r="K54" s="1311"/>
    </row>
    <row r="55" spans="2:12" ht="15.75" x14ac:dyDescent="0.3">
      <c r="B55" s="52"/>
      <c r="C55" s="743" t="str">
        <f t="shared" si="3"/>
        <v>VVC-förluster</v>
      </c>
      <c r="D55" s="741">
        <f>'B1. Resultat beräkning'!F6</f>
        <v>0</v>
      </c>
      <c r="E55" s="767"/>
      <c r="F55" s="742">
        <f t="shared" si="4"/>
        <v>1</v>
      </c>
      <c r="G55" s="115"/>
      <c r="H55" s="753">
        <f>IFERROR(D55/'A. Byggnadsinfo med BBR'!$E$43,0)</f>
        <v>0</v>
      </c>
      <c r="I55" s="754">
        <f>IFERROR(E55/'A. Byggnadsinfo med BBR'!$E$43,0)</f>
        <v>0</v>
      </c>
      <c r="J55" s="770"/>
      <c r="K55" s="771"/>
    </row>
    <row r="56" spans="2:12" ht="15.75" x14ac:dyDescent="0.3">
      <c r="B56" s="52"/>
      <c r="C56" s="743" t="str">
        <f t="shared" si="3"/>
        <v>Elkyla</v>
      </c>
      <c r="D56" s="744">
        <f>'B1. Resultat beräkning'!F12</f>
        <v>0</v>
      </c>
      <c r="E56" s="767"/>
      <c r="F56" s="742">
        <f t="shared" si="4"/>
        <v>1</v>
      </c>
      <c r="G56" s="115"/>
      <c r="H56" s="753">
        <f>IFERROR(D56/'A. Byggnadsinfo med BBR'!$E$43,0)</f>
        <v>0</v>
      </c>
      <c r="I56" s="754">
        <f>IFERROR(E56/'A. Byggnadsinfo med BBR'!$E$43,0)</f>
        <v>0</v>
      </c>
      <c r="J56" s="1310"/>
      <c r="K56" s="1311"/>
    </row>
    <row r="57" spans="2:12" ht="15.75" x14ac:dyDescent="0.3">
      <c r="B57" s="52"/>
      <c r="C57" s="743" t="str">
        <f t="shared" si="3"/>
        <v>Fjärrkyla</v>
      </c>
      <c r="D57" s="744">
        <f>'B1. Resultat beräkning'!F14</f>
        <v>0</v>
      </c>
      <c r="E57" s="767"/>
      <c r="F57" s="742">
        <f t="shared" si="4"/>
        <v>1</v>
      </c>
      <c r="G57" s="115"/>
      <c r="H57" s="753">
        <f>IFERROR(D57/'A. Byggnadsinfo med BBR'!$E$43,0)</f>
        <v>0</v>
      </c>
      <c r="I57" s="754">
        <f>IFERROR(E57/'A. Byggnadsinfo med BBR'!$E$43,0)</f>
        <v>0</v>
      </c>
      <c r="J57" s="1310"/>
      <c r="K57" s="1311"/>
    </row>
    <row r="58" spans="2:12" ht="15.75" x14ac:dyDescent="0.3">
      <c r="B58" s="52"/>
      <c r="C58" s="743" t="str">
        <f t="shared" si="3"/>
        <v>Driftel exkl värme och kyla</v>
      </c>
      <c r="D58" s="744">
        <f>'B1. Resultat beräkning'!F16</f>
        <v>0</v>
      </c>
      <c r="E58" s="767"/>
      <c r="F58" s="742">
        <f t="shared" si="4"/>
        <v>1</v>
      </c>
      <c r="G58" s="115"/>
      <c r="H58" s="753">
        <f>IFERROR(D58/'A. Byggnadsinfo med BBR'!$E$43,0)</f>
        <v>0</v>
      </c>
      <c r="I58" s="754">
        <f>IFERROR(E58/'A. Byggnadsinfo med BBR'!$E$43,0)</f>
        <v>0</v>
      </c>
      <c r="J58" s="1310"/>
      <c r="K58" s="1311"/>
    </row>
    <row r="59" spans="2:12" ht="16.5" thickBot="1" x14ac:dyDescent="0.35">
      <c r="B59" s="745"/>
      <c r="C59" s="755" t="str">
        <f t="shared" si="3"/>
        <v>Verksamhets-/Hushållsenergi</v>
      </c>
      <c r="D59" s="747">
        <f>'B1. Resultat beräkning'!F21</f>
        <v>0</v>
      </c>
      <c r="E59" s="763"/>
      <c r="F59" s="748">
        <f t="shared" si="4"/>
        <v>1</v>
      </c>
      <c r="G59" s="115"/>
      <c r="H59" s="756">
        <f>IFERROR(D59/'A. Byggnadsinfo med BBR'!$E$43,0)</f>
        <v>0</v>
      </c>
      <c r="I59" s="757">
        <f>IFERROR(E59/'A. Byggnadsinfo med BBR'!$E$43,0)</f>
        <v>0</v>
      </c>
      <c r="J59" s="1312"/>
      <c r="K59" s="1313"/>
    </row>
    <row r="60" spans="2:12" ht="15.75" customHeight="1" x14ac:dyDescent="0.3">
      <c r="G60" s="115"/>
    </row>
    <row r="61" spans="2:12" ht="19.5" x14ac:dyDescent="0.35">
      <c r="B61" s="19" t="s">
        <v>525</v>
      </c>
      <c r="G61" s="115"/>
    </row>
    <row r="62" spans="2:12" ht="15.75" x14ac:dyDescent="0.3">
      <c r="B62" s="114" t="str">
        <f>B6</f>
        <v xml:space="preserve">Tabell 1. Dokumenterande underlag för korrigering av avvikelser i brukande </v>
      </c>
      <c r="C62" s="115"/>
      <c r="D62" s="115"/>
      <c r="E62" s="115"/>
      <c r="F62" s="115"/>
      <c r="G62" s="115"/>
      <c r="H62" s="115"/>
      <c r="I62" s="115"/>
      <c r="J62" s="115"/>
      <c r="K62" s="115"/>
      <c r="L62" s="115"/>
    </row>
    <row r="63" spans="2:12" ht="2.25" customHeight="1" thickBot="1" x14ac:dyDescent="0.35">
      <c r="B63" s="115"/>
      <c r="C63" s="115"/>
      <c r="D63" s="115"/>
      <c r="E63" s="115"/>
      <c r="F63" s="115"/>
      <c r="G63" s="115"/>
      <c r="H63" s="115"/>
      <c r="I63" s="115"/>
      <c r="J63" s="115"/>
      <c r="K63" s="115"/>
      <c r="L63" s="115"/>
    </row>
    <row r="64" spans="2:12" ht="15.75" x14ac:dyDescent="0.3">
      <c r="B64" s="1340" t="str">
        <f>B8</f>
        <v>Indatavärden</v>
      </c>
      <c r="C64" s="1314" t="str">
        <f>C8</f>
        <v>Enhet</v>
      </c>
      <c r="D64" s="1314" t="str">
        <f>D8</f>
        <v>Beräknad brukarindata</v>
      </c>
      <c r="E64" s="1314" t="str">
        <f>E8</f>
        <v>Uppmätt brukarindata</v>
      </c>
      <c r="F64" s="1314" t="str">
        <f>F8</f>
        <v>Avvikelse brukarindata</v>
      </c>
      <c r="G64" s="115"/>
      <c r="H64" s="1332" t="str">
        <f>H8</f>
        <v>Icke försumbar avvikelse</v>
      </c>
      <c r="I64" s="1355" t="s">
        <v>104</v>
      </c>
      <c r="J64" s="1155"/>
      <c r="K64" s="1125"/>
    </row>
    <row r="65" spans="2:11" ht="16.5" thickBot="1" x14ac:dyDescent="0.35">
      <c r="B65" s="1341"/>
      <c r="C65" s="1334"/>
      <c r="D65" s="1334"/>
      <c r="E65" s="1334"/>
      <c r="F65" s="1334"/>
      <c r="G65" s="115"/>
      <c r="H65" s="1333"/>
      <c r="I65" s="1347"/>
      <c r="J65" s="1343"/>
      <c r="K65" s="1348"/>
    </row>
    <row r="66" spans="2:11" ht="18.75" x14ac:dyDescent="0.35">
      <c r="B66" s="483" t="s">
        <v>505</v>
      </c>
      <c r="C66" s="728" t="s">
        <v>544</v>
      </c>
      <c r="D66" s="768"/>
      <c r="E66" s="768"/>
      <c r="F66" s="567">
        <f>E66-D66</f>
        <v>0</v>
      </c>
      <c r="G66" s="115"/>
      <c r="H66" s="567" t="s">
        <v>651</v>
      </c>
      <c r="I66" s="1349"/>
      <c r="J66" s="1350"/>
      <c r="K66" s="1351"/>
    </row>
    <row r="67" spans="2:11" ht="15.75" x14ac:dyDescent="0.3">
      <c r="B67" s="483" t="s">
        <v>540</v>
      </c>
      <c r="C67" s="728" t="s">
        <v>468</v>
      </c>
      <c r="D67" s="767"/>
      <c r="E67" s="767"/>
      <c r="F67" s="728">
        <f t="shared" ref="F67:F74" si="5">E67-D67</f>
        <v>0</v>
      </c>
      <c r="G67" s="115"/>
      <c r="H67" s="728" t="s">
        <v>652</v>
      </c>
      <c r="I67" s="1344"/>
      <c r="J67" s="1345"/>
      <c r="K67" s="1346"/>
    </row>
    <row r="68" spans="2:11" ht="15.75" x14ac:dyDescent="0.3">
      <c r="B68" s="483" t="s">
        <v>653</v>
      </c>
      <c r="C68" s="728" t="s">
        <v>468</v>
      </c>
      <c r="D68" s="767"/>
      <c r="E68" s="767"/>
      <c r="F68" s="728">
        <f t="shared" si="5"/>
        <v>0</v>
      </c>
      <c r="G68" s="115"/>
      <c r="H68" s="728" t="s">
        <v>652</v>
      </c>
      <c r="I68" s="1344"/>
      <c r="J68" s="1345"/>
      <c r="K68" s="1346"/>
    </row>
    <row r="69" spans="2:11" ht="15.75" x14ac:dyDescent="0.3">
      <c r="B69" s="483" t="s">
        <v>654</v>
      </c>
      <c r="C69" s="728" t="s">
        <v>655</v>
      </c>
      <c r="D69" s="767"/>
      <c r="E69" s="767"/>
      <c r="F69" s="728">
        <f t="shared" si="5"/>
        <v>0</v>
      </c>
      <c r="G69" s="115"/>
      <c r="H69" s="728"/>
      <c r="I69" s="1344"/>
      <c r="J69" s="1345"/>
      <c r="K69" s="1346"/>
    </row>
    <row r="70" spans="2:11" ht="15.75" x14ac:dyDescent="0.3">
      <c r="B70" s="483" t="s">
        <v>656</v>
      </c>
      <c r="C70" s="728" t="s">
        <v>655</v>
      </c>
      <c r="D70" s="767"/>
      <c r="E70" s="767"/>
      <c r="F70" s="728">
        <f t="shared" si="5"/>
        <v>0</v>
      </c>
      <c r="G70" s="115"/>
      <c r="H70" s="728"/>
      <c r="I70" s="1344"/>
      <c r="J70" s="1345"/>
      <c r="K70" s="1346"/>
    </row>
    <row r="71" spans="2:11" ht="18.75" x14ac:dyDescent="0.35">
      <c r="B71" s="483" t="s">
        <v>657</v>
      </c>
      <c r="C71" s="728" t="s">
        <v>658</v>
      </c>
      <c r="D71" s="767"/>
      <c r="E71" s="767"/>
      <c r="F71" s="728">
        <f t="shared" si="5"/>
        <v>0</v>
      </c>
      <c r="G71" s="115"/>
      <c r="H71" s="728"/>
      <c r="I71" s="1344"/>
      <c r="J71" s="1345"/>
      <c r="K71" s="1346"/>
    </row>
    <row r="72" spans="2:11" ht="18.75" x14ac:dyDescent="0.35">
      <c r="B72" s="483" t="s">
        <v>659</v>
      </c>
      <c r="C72" s="728" t="s">
        <v>658</v>
      </c>
      <c r="D72" s="767"/>
      <c r="E72" s="767"/>
      <c r="F72" s="728">
        <f t="shared" si="5"/>
        <v>0</v>
      </c>
      <c r="G72" s="115"/>
      <c r="H72" s="728"/>
      <c r="I72" s="1344"/>
      <c r="J72" s="1345"/>
      <c r="K72" s="1346"/>
    </row>
    <row r="73" spans="2:11" ht="18.75" x14ac:dyDescent="0.35">
      <c r="B73" s="483" t="s">
        <v>543</v>
      </c>
      <c r="C73" s="730" t="s">
        <v>544</v>
      </c>
      <c r="D73" s="769"/>
      <c r="E73" s="769"/>
      <c r="F73" s="728">
        <f t="shared" si="5"/>
        <v>0</v>
      </c>
      <c r="G73" s="115"/>
      <c r="H73" s="728" t="s">
        <v>660</v>
      </c>
      <c r="I73" s="1344"/>
      <c r="J73" s="1345"/>
      <c r="K73" s="1346"/>
    </row>
    <row r="74" spans="2:11" ht="16.5" thickBot="1" x14ac:dyDescent="0.35">
      <c r="B74" s="731" t="s">
        <v>661</v>
      </c>
      <c r="C74" s="763"/>
      <c r="D74" s="763"/>
      <c r="E74" s="763"/>
      <c r="F74" s="578">
        <f t="shared" si="5"/>
        <v>0</v>
      </c>
      <c r="G74" s="115"/>
      <c r="H74" s="578"/>
      <c r="I74" s="1352"/>
      <c r="J74" s="1353"/>
      <c r="K74" s="1354"/>
    </row>
    <row r="75" spans="2:11" ht="6" customHeight="1" x14ac:dyDescent="0.3">
      <c r="G75" s="115"/>
    </row>
    <row r="76" spans="2:11" ht="15.75" x14ac:dyDescent="0.3">
      <c r="B76" s="114" t="str">
        <f>B20</f>
        <v>Tabell 2. Resultat för korrigering vid beräkning med upprepad dynamisk energiberäkning</v>
      </c>
      <c r="G76" s="115"/>
    </row>
    <row r="77" spans="2:11" ht="3" customHeight="1" thickBot="1" x14ac:dyDescent="0.35">
      <c r="G77" s="115"/>
    </row>
    <row r="78" spans="2:11" ht="15.75" customHeight="1" x14ac:dyDescent="0.3">
      <c r="B78" s="1324" t="str">
        <f>B22</f>
        <v>Energiprestandapåverkan utdata</v>
      </c>
      <c r="C78" s="1325"/>
      <c r="D78" s="1335" t="str">
        <f>D50</f>
        <v>Beräknat efter renovering</v>
      </c>
      <c r="E78" s="1314" t="s">
        <v>673</v>
      </c>
      <c r="F78" s="1332" t="str">
        <f>F22</f>
        <v>Korrigerings-divisor</v>
      </c>
      <c r="G78" s="115"/>
      <c r="H78" s="1338" t="str">
        <f>D78</f>
        <v>Beräknat efter renovering</v>
      </c>
      <c r="I78" s="1314" t="str">
        <f>E78</f>
        <v>Beräknat efter åtgärd, år 2</v>
      </c>
      <c r="J78" s="1316" t="s">
        <v>104</v>
      </c>
      <c r="K78" s="1317"/>
    </row>
    <row r="79" spans="2:11" ht="15.75" x14ac:dyDescent="0.3">
      <c r="B79" s="1326"/>
      <c r="C79" s="1327"/>
      <c r="D79" s="1336"/>
      <c r="E79" s="1315"/>
      <c r="F79" s="1337"/>
      <c r="G79" s="115"/>
      <c r="H79" s="1339"/>
      <c r="I79" s="1315"/>
      <c r="J79" s="1318"/>
      <c r="K79" s="1319"/>
    </row>
    <row r="80" spans="2:11" ht="17.25" thickBot="1" x14ac:dyDescent="0.35">
      <c r="B80" s="1328"/>
      <c r="C80" s="1329"/>
      <c r="D80" s="527" t="s">
        <v>238</v>
      </c>
      <c r="E80" s="473" t="s">
        <v>238</v>
      </c>
      <c r="F80" s="526" t="s">
        <v>238</v>
      </c>
      <c r="G80" s="115"/>
      <c r="H80" s="749" t="s">
        <v>667</v>
      </c>
      <c r="I80" s="750" t="s">
        <v>668</v>
      </c>
      <c r="J80" s="1320"/>
      <c r="K80" s="1321"/>
    </row>
    <row r="81" spans="2:11" ht="15.75" x14ac:dyDescent="0.3">
      <c r="B81" s="52"/>
      <c r="C81" s="451" t="str">
        <f>C25</f>
        <v>Uppvärmning exkl TVV och VVC</v>
      </c>
      <c r="D81" s="758">
        <f>D53</f>
        <v>0</v>
      </c>
      <c r="E81" s="766"/>
      <c r="F81" s="759">
        <f>IF(D81&gt;0,E81/D81,1)</f>
        <v>1</v>
      </c>
      <c r="G81" s="115"/>
      <c r="H81" s="751">
        <f>IFERROR(D81/'A. Byggnadsinfo med BBR'!$E$43,0)</f>
        <v>0</v>
      </c>
      <c r="I81" s="752">
        <f>IFERROR(E81/'A. Byggnadsinfo med BBR'!$E$43,0)</f>
        <v>0</v>
      </c>
      <c r="J81" s="1322"/>
      <c r="K81" s="1323"/>
    </row>
    <row r="82" spans="2:11" ht="15.75" x14ac:dyDescent="0.3">
      <c r="B82" s="52"/>
      <c r="C82" s="451" t="str">
        <f t="shared" ref="C82:C87" si="6">C26</f>
        <v>Tappvarmvatten</v>
      </c>
      <c r="D82" s="760">
        <f t="shared" ref="D82:D87" si="7">D54</f>
        <v>0</v>
      </c>
      <c r="E82" s="768"/>
      <c r="F82" s="742">
        <f t="shared" ref="F82:F87" si="8">IF(D82&gt;0,E82/D82,1)</f>
        <v>1</v>
      </c>
      <c r="G82" s="115"/>
      <c r="H82" s="753">
        <f>IFERROR(D82/'A. Byggnadsinfo med BBR'!$E$43,0)</f>
        <v>0</v>
      </c>
      <c r="I82" s="754">
        <f>IFERROR(E82/'A. Byggnadsinfo med BBR'!$E$43,0)</f>
        <v>0</v>
      </c>
      <c r="J82" s="1310"/>
      <c r="K82" s="1311"/>
    </row>
    <row r="83" spans="2:11" ht="15.75" x14ac:dyDescent="0.3">
      <c r="B83" s="52"/>
      <c r="C83" s="451" t="str">
        <f t="shared" si="6"/>
        <v>VVC-förluster</v>
      </c>
      <c r="D83" s="760">
        <f t="shared" si="7"/>
        <v>0</v>
      </c>
      <c r="E83" s="767"/>
      <c r="F83" s="742">
        <f t="shared" si="8"/>
        <v>1</v>
      </c>
      <c r="G83" s="115"/>
      <c r="H83" s="753">
        <f>IFERROR(D83/'A. Byggnadsinfo med BBR'!$E$43,0)</f>
        <v>0</v>
      </c>
      <c r="I83" s="754">
        <f>IFERROR(E83/'A. Byggnadsinfo med BBR'!$E$43,0)</f>
        <v>0</v>
      </c>
      <c r="J83" s="1310"/>
      <c r="K83" s="1311"/>
    </row>
    <row r="84" spans="2:11" ht="15.75" x14ac:dyDescent="0.3">
      <c r="B84" s="52"/>
      <c r="C84" s="451" t="str">
        <f t="shared" si="6"/>
        <v>Elkyla</v>
      </c>
      <c r="D84" s="760">
        <f t="shared" si="7"/>
        <v>0</v>
      </c>
      <c r="E84" s="767"/>
      <c r="F84" s="742">
        <f t="shared" si="8"/>
        <v>1</v>
      </c>
      <c r="G84" s="115"/>
      <c r="H84" s="753">
        <f>IFERROR(D84/'A. Byggnadsinfo med BBR'!$E$43,0)</f>
        <v>0</v>
      </c>
      <c r="I84" s="754">
        <f>IFERROR(E84/'A. Byggnadsinfo med BBR'!$E$43,0)</f>
        <v>0</v>
      </c>
      <c r="J84" s="1310"/>
      <c r="K84" s="1311"/>
    </row>
    <row r="85" spans="2:11" ht="15.75" x14ac:dyDescent="0.3">
      <c r="B85" s="52"/>
      <c r="C85" s="451" t="str">
        <f t="shared" si="6"/>
        <v>Fjärrkyla</v>
      </c>
      <c r="D85" s="760">
        <f t="shared" si="7"/>
        <v>0</v>
      </c>
      <c r="E85" s="767"/>
      <c r="F85" s="742">
        <f t="shared" si="8"/>
        <v>1</v>
      </c>
      <c r="G85" s="115"/>
      <c r="H85" s="753">
        <f>IFERROR(D85/'A. Byggnadsinfo med BBR'!$E$43,0)</f>
        <v>0</v>
      </c>
      <c r="I85" s="754">
        <f>IFERROR(E85/'A. Byggnadsinfo med BBR'!$E$43,0)</f>
        <v>0</v>
      </c>
      <c r="J85" s="1310"/>
      <c r="K85" s="1311"/>
    </row>
    <row r="86" spans="2:11" ht="15.75" x14ac:dyDescent="0.3">
      <c r="B86" s="52"/>
      <c r="C86" s="451" t="str">
        <f t="shared" si="6"/>
        <v>Driftel exkl värme och kyla</v>
      </c>
      <c r="D86" s="760">
        <f t="shared" si="7"/>
        <v>0</v>
      </c>
      <c r="E86" s="767"/>
      <c r="F86" s="742">
        <f t="shared" si="8"/>
        <v>1</v>
      </c>
      <c r="G86" s="115"/>
      <c r="H86" s="753">
        <f>IFERROR(D86/'A. Byggnadsinfo med BBR'!$E$43,0)</f>
        <v>0</v>
      </c>
      <c r="I86" s="754">
        <f>IFERROR(E86/'A. Byggnadsinfo med BBR'!$E$43,0)</f>
        <v>0</v>
      </c>
      <c r="J86" s="1310"/>
      <c r="K86" s="1311"/>
    </row>
    <row r="87" spans="2:11" ht="16.5" thickBot="1" x14ac:dyDescent="0.35">
      <c r="B87" s="745"/>
      <c r="C87" s="761" t="str">
        <f t="shared" si="6"/>
        <v>Verksamhets-/Hushållsenergi</v>
      </c>
      <c r="D87" s="762">
        <f t="shared" si="7"/>
        <v>0</v>
      </c>
      <c r="E87" s="763"/>
      <c r="F87" s="748">
        <f t="shared" si="8"/>
        <v>1</v>
      </c>
      <c r="G87" s="115"/>
      <c r="H87" s="756">
        <f>IFERROR(D87/'A. Byggnadsinfo med BBR'!$E$43,0)</f>
        <v>0</v>
      </c>
      <c r="I87" s="757">
        <f>IFERROR(E87/'A. Byggnadsinfo med BBR'!$E$43,0)</f>
        <v>0</v>
      </c>
      <c r="J87" s="1312"/>
      <c r="K87" s="1313"/>
    </row>
    <row r="88" spans="2:11" ht="9" customHeight="1" x14ac:dyDescent="0.3">
      <c r="G88" s="115"/>
    </row>
    <row r="89" spans="2:11" ht="15.75" x14ac:dyDescent="0.3">
      <c r="G89" s="115"/>
    </row>
  </sheetData>
  <sheetProtection algorithmName="SHA-512" hashValue="9vlCXcAQQsF9enUJFY8Xsijd0FZ0BshB9o/vEGtuXw7CIJfcCu4Rs8IZStgURgU9f1wAA4eUKXngzS7jz29WsQ==" saltValue="+cllatis4jC5qbKqbtAjoA==" spinCount="100000" sheet="1" objects="1" scenarios="1"/>
  <mergeCells count="97">
    <mergeCell ref="J22:K22"/>
    <mergeCell ref="H8:H9"/>
    <mergeCell ref="H36:H37"/>
    <mergeCell ref="I8:K8"/>
    <mergeCell ref="I9:K9"/>
    <mergeCell ref="I10:K10"/>
    <mergeCell ref="I11:K11"/>
    <mergeCell ref="I12:K12"/>
    <mergeCell ref="I18:K18"/>
    <mergeCell ref="I13:K13"/>
    <mergeCell ref="I14:K14"/>
    <mergeCell ref="I15:K15"/>
    <mergeCell ref="I16:K16"/>
    <mergeCell ref="I17:K17"/>
    <mergeCell ref="I39:K39"/>
    <mergeCell ref="I41:K41"/>
    <mergeCell ref="J28:K28"/>
    <mergeCell ref="J29:K29"/>
    <mergeCell ref="J30:K30"/>
    <mergeCell ref="J31:K31"/>
    <mergeCell ref="I36:K36"/>
    <mergeCell ref="I37:K37"/>
    <mergeCell ref="I40:K40"/>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72:K72"/>
    <mergeCell ref="I68:K68"/>
    <mergeCell ref="I65:K65"/>
    <mergeCell ref="I66:K66"/>
    <mergeCell ref="I74:K74"/>
    <mergeCell ref="I73:K73"/>
    <mergeCell ref="I69:K69"/>
    <mergeCell ref="I67:K67"/>
    <mergeCell ref="I70:K70"/>
    <mergeCell ref="I71:K71"/>
    <mergeCell ref="B8:B9"/>
    <mergeCell ref="C8:C9"/>
    <mergeCell ref="D8:D9"/>
    <mergeCell ref="E8:E9"/>
    <mergeCell ref="F8:F9"/>
    <mergeCell ref="D22:D23"/>
    <mergeCell ref="E22:E23"/>
    <mergeCell ref="F22:F23"/>
    <mergeCell ref="H22:H23"/>
    <mergeCell ref="B22:C23"/>
    <mergeCell ref="B36:B37"/>
    <mergeCell ref="C36:C37"/>
    <mergeCell ref="D36:D37"/>
    <mergeCell ref="E36:E37"/>
    <mergeCell ref="F36:F37"/>
    <mergeCell ref="D50:D51"/>
    <mergeCell ref="E50:E51"/>
    <mergeCell ref="F50:F51"/>
    <mergeCell ref="H50:H51"/>
    <mergeCell ref="B50:C51"/>
    <mergeCell ref="B52:C52"/>
    <mergeCell ref="B64:B65"/>
    <mergeCell ref="C64:C65"/>
    <mergeCell ref="D64:D65"/>
    <mergeCell ref="E64:E65"/>
    <mergeCell ref="B78:C79"/>
    <mergeCell ref="B80:C80"/>
    <mergeCell ref="D4:F4"/>
    <mergeCell ref="J84:K84"/>
    <mergeCell ref="J85:K85"/>
    <mergeCell ref="J57:K57"/>
    <mergeCell ref="J58:K58"/>
    <mergeCell ref="J59:K59"/>
    <mergeCell ref="H64:H65"/>
    <mergeCell ref="J54:K54"/>
    <mergeCell ref="J56:K56"/>
    <mergeCell ref="F64:F65"/>
    <mergeCell ref="D78:D79"/>
    <mergeCell ref="E78:E79"/>
    <mergeCell ref="F78:F79"/>
    <mergeCell ref="H78:H79"/>
    <mergeCell ref="J86:K86"/>
    <mergeCell ref="J87:K87"/>
    <mergeCell ref="I78:I79"/>
    <mergeCell ref="J78:K80"/>
    <mergeCell ref="J81:K81"/>
    <mergeCell ref="J82:K82"/>
    <mergeCell ref="J83:K83"/>
  </mergeCells>
  <phoneticPr fontId="40" type="noConversion"/>
  <pageMargins left="0.70866141732283472" right="0.70866141732283472" top="0.35433070866141736" bottom="0.43307086614173229" header="0.23622047244094491" footer="0.31496062992125984"/>
  <pageSetup paperSize="9" scale="33"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pageSetUpPr fitToPage="1"/>
  </sheetPr>
  <dimension ref="B1:AX169"/>
  <sheetViews>
    <sheetView zoomScale="90" zoomScaleNormal="90" workbookViewId="0">
      <selection activeCell="E24" sqref="E24"/>
    </sheetView>
  </sheetViews>
  <sheetFormatPr defaultColWidth="8.7109375" defaultRowHeight="15" x14ac:dyDescent="0.25"/>
  <cols>
    <col min="1" max="1" width="1.5703125" style="21" customWidth="1"/>
    <col min="2" max="2" width="26.140625" style="21" customWidth="1"/>
    <col min="3" max="3" width="27.5703125" style="21" customWidth="1"/>
    <col min="4" max="5" width="25.28515625" style="21" customWidth="1"/>
    <col min="6" max="6" width="12.42578125" style="21" customWidth="1"/>
    <col min="7" max="7" width="15.28515625" style="21" customWidth="1"/>
    <col min="8" max="9" width="17.5703125" style="21" customWidth="1"/>
    <col min="10" max="10" width="18.42578125" style="21" customWidth="1"/>
    <col min="11" max="11" width="20.42578125" style="21" customWidth="1"/>
    <col min="12" max="12" width="1.7109375" style="21" customWidth="1"/>
    <col min="13" max="13" width="10.42578125" style="21" customWidth="1"/>
    <col min="14" max="16384" width="8.7109375" style="21"/>
  </cols>
  <sheetData>
    <row r="1" spans="2:50" ht="8.25" customHeight="1" x14ac:dyDescent="0.25"/>
    <row r="2" spans="2:50" ht="21" x14ac:dyDescent="0.35">
      <c r="C2" s="450" t="s">
        <v>674</v>
      </c>
      <c r="D2" s="114"/>
      <c r="E2" s="114"/>
      <c r="F2" s="114"/>
      <c r="G2" s="114"/>
      <c r="H2" s="114"/>
      <c r="I2" s="114"/>
      <c r="J2" s="114"/>
    </row>
    <row r="3" spans="2:50" ht="21" customHeight="1" x14ac:dyDescent="0.25"/>
    <row r="4" spans="2:50" ht="15.75" x14ac:dyDescent="0.3">
      <c r="B4" s="115"/>
      <c r="C4" s="451" t="s">
        <v>482</v>
      </c>
      <c r="D4" s="1330">
        <f>'A. Byggnadsinfo med BBR'!C9</f>
        <v>0</v>
      </c>
      <c r="E4" s="1292"/>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row>
    <row r="5" spans="2:50" ht="15.75" x14ac:dyDescent="0.3">
      <c r="B5" s="115"/>
      <c r="C5" s="451"/>
      <c r="D5" s="451"/>
      <c r="E5" s="451"/>
      <c r="F5" s="451"/>
      <c r="G5" s="451"/>
      <c r="H5" s="451"/>
      <c r="I5" s="451"/>
      <c r="J5" s="451"/>
      <c r="K5" s="451"/>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row>
    <row r="6" spans="2:50" ht="20.25" thickBot="1" x14ac:dyDescent="0.4">
      <c r="B6" s="19" t="s">
        <v>675</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row>
    <row r="7" spans="2:50" ht="32.25" customHeight="1" thickBot="1" x14ac:dyDescent="0.35">
      <c r="B7" s="829" t="s">
        <v>676</v>
      </c>
      <c r="C7" s="830" t="s">
        <v>677</v>
      </c>
      <c r="D7" s="830" t="s">
        <v>678</v>
      </c>
      <c r="E7" s="830" t="s">
        <v>679</v>
      </c>
      <c r="F7" s="830" t="s">
        <v>680</v>
      </c>
      <c r="G7" s="830" t="s">
        <v>681</v>
      </c>
      <c r="H7" s="1396" t="s">
        <v>104</v>
      </c>
      <c r="I7" s="1397"/>
      <c r="J7" s="1397"/>
      <c r="K7" s="1398"/>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row>
    <row r="8" spans="2:50" ht="15.75" x14ac:dyDescent="0.3">
      <c r="B8" s="832"/>
      <c r="C8" s="710"/>
      <c r="D8" s="833"/>
      <c r="E8" s="834"/>
      <c r="F8" s="834"/>
      <c r="G8" s="835"/>
      <c r="H8" s="1272"/>
      <c r="I8" s="1305"/>
      <c r="J8" s="1305"/>
      <c r="K8" s="1378"/>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2:50" ht="15.75" x14ac:dyDescent="0.3">
      <c r="B9" s="836"/>
      <c r="C9" s="663"/>
      <c r="D9" s="837"/>
      <c r="E9" s="838"/>
      <c r="F9" s="838"/>
      <c r="G9" s="839"/>
      <c r="H9" s="1259"/>
      <c r="I9" s="1293"/>
      <c r="J9" s="1293"/>
      <c r="K9" s="1294"/>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2:50" ht="15.75" x14ac:dyDescent="0.3">
      <c r="B10" s="836"/>
      <c r="C10" s="663"/>
      <c r="D10" s="837"/>
      <c r="E10" s="838"/>
      <c r="F10" s="838"/>
      <c r="G10" s="839"/>
      <c r="H10" s="1259"/>
      <c r="I10" s="1293"/>
      <c r="J10" s="1293"/>
      <c r="K10" s="1294"/>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row>
    <row r="11" spans="2:50" ht="15.75" x14ac:dyDescent="0.3">
      <c r="B11" s="836"/>
      <c r="C11" s="663"/>
      <c r="D11" s="837"/>
      <c r="E11" s="838"/>
      <c r="F11" s="838"/>
      <c r="G11" s="839"/>
      <c r="H11" s="1259"/>
      <c r="I11" s="1293"/>
      <c r="J11" s="1293"/>
      <c r="K11" s="1294"/>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row>
    <row r="12" spans="2:50" ht="15.75" x14ac:dyDescent="0.3">
      <c r="B12" s="836"/>
      <c r="C12" s="663"/>
      <c r="D12" s="837"/>
      <c r="E12" s="838"/>
      <c r="F12" s="838"/>
      <c r="G12" s="839"/>
      <c r="H12" s="1259"/>
      <c r="I12" s="1293"/>
      <c r="J12" s="1293"/>
      <c r="K12" s="1294"/>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row>
    <row r="13" spans="2:50" ht="16.5" thickBot="1" x14ac:dyDescent="0.35">
      <c r="B13" s="840"/>
      <c r="C13" s="711"/>
      <c r="D13" s="841"/>
      <c r="E13" s="842"/>
      <c r="F13" s="842"/>
      <c r="G13" s="843"/>
      <c r="H13" s="1385"/>
      <c r="I13" s="1386"/>
      <c r="J13" s="1386"/>
      <c r="K13" s="1387"/>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2:50" ht="15.75" x14ac:dyDescent="0.3">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2:50" ht="20.25" thickBot="1" x14ac:dyDescent="0.4">
      <c r="B15" s="831" t="s">
        <v>682</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row>
    <row r="16" spans="2:50" ht="32.25" customHeight="1" thickBot="1" x14ac:dyDescent="0.35">
      <c r="B16" s="829" t="s">
        <v>676</v>
      </c>
      <c r="C16" s="830" t="s">
        <v>683</v>
      </c>
      <c r="D16" s="830" t="s">
        <v>678</v>
      </c>
      <c r="E16" s="830" t="s">
        <v>679</v>
      </c>
      <c r="F16" s="830" t="s">
        <v>680</v>
      </c>
      <c r="G16" s="830" t="s">
        <v>681</v>
      </c>
      <c r="H16" s="1379" t="s">
        <v>104</v>
      </c>
      <c r="I16" s="1149"/>
      <c r="J16" s="1149"/>
      <c r="K16" s="1150"/>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2:50" ht="15.75" x14ac:dyDescent="0.3">
      <c r="B17" s="832"/>
      <c r="C17" s="710"/>
      <c r="D17" s="833"/>
      <c r="E17" s="834"/>
      <c r="F17" s="834"/>
      <c r="G17" s="835"/>
      <c r="H17" s="1275"/>
      <c r="I17" s="1394"/>
      <c r="J17" s="1394"/>
      <c r="K17" s="139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row>
    <row r="18" spans="2:50" ht="15.75" x14ac:dyDescent="0.3">
      <c r="B18" s="836"/>
      <c r="C18" s="663"/>
      <c r="D18" s="837"/>
      <c r="E18" s="838"/>
      <c r="F18" s="838"/>
      <c r="G18" s="839"/>
      <c r="H18" s="1259"/>
      <c r="I18" s="1293"/>
      <c r="J18" s="1293"/>
      <c r="K18" s="1294"/>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row>
    <row r="19" spans="2:50" ht="15.75" x14ac:dyDescent="0.3">
      <c r="B19" s="836"/>
      <c r="C19" s="663"/>
      <c r="D19" s="837"/>
      <c r="E19" s="838"/>
      <c r="F19" s="838"/>
      <c r="G19" s="839"/>
      <c r="H19" s="1259"/>
      <c r="I19" s="1293"/>
      <c r="J19" s="1293"/>
      <c r="K19" s="1294"/>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row>
    <row r="20" spans="2:50" ht="15.75" x14ac:dyDescent="0.3">
      <c r="B20" s="836"/>
      <c r="C20" s="663"/>
      <c r="D20" s="837"/>
      <c r="E20" s="838"/>
      <c r="F20" s="838"/>
      <c r="G20" s="839"/>
      <c r="H20" s="1259"/>
      <c r="I20" s="1293"/>
      <c r="J20" s="1293"/>
      <c r="K20" s="1294"/>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row>
    <row r="21" spans="2:50" ht="15.75" x14ac:dyDescent="0.3">
      <c r="B21" s="836"/>
      <c r="C21" s="663"/>
      <c r="D21" s="837"/>
      <c r="E21" s="838"/>
      <c r="F21" s="838"/>
      <c r="G21" s="839"/>
      <c r="H21" s="1259"/>
      <c r="I21" s="1293"/>
      <c r="J21" s="1293"/>
      <c r="K21" s="1294"/>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row>
    <row r="22" spans="2:50" ht="15.75" x14ac:dyDescent="0.3">
      <c r="B22" s="836"/>
      <c r="C22" s="663"/>
      <c r="D22" s="837"/>
      <c r="E22" s="838"/>
      <c r="F22" s="838"/>
      <c r="G22" s="839"/>
      <c r="H22" s="1259"/>
      <c r="I22" s="1293"/>
      <c r="J22" s="1293"/>
      <c r="K22" s="1294"/>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row>
    <row r="23" spans="2:50" ht="15.75" x14ac:dyDescent="0.3">
      <c r="B23" s="836"/>
      <c r="C23" s="663"/>
      <c r="D23" s="837"/>
      <c r="E23" s="838"/>
      <c r="F23" s="838"/>
      <c r="G23" s="839"/>
      <c r="H23" s="1259"/>
      <c r="I23" s="1293"/>
      <c r="J23" s="1293"/>
      <c r="K23" s="1294"/>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row>
    <row r="24" spans="2:50" ht="16.5" thickBot="1" x14ac:dyDescent="0.35">
      <c r="B24" s="840"/>
      <c r="C24" s="711"/>
      <c r="D24" s="841"/>
      <c r="E24" s="842"/>
      <c r="F24" s="842"/>
      <c r="G24" s="843"/>
      <c r="H24" s="1385"/>
      <c r="I24" s="1386"/>
      <c r="J24" s="1386"/>
      <c r="K24" s="1387"/>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row>
    <row r="25" spans="2:50" ht="15.75" x14ac:dyDescent="0.3">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2:50" ht="17.25" customHeight="1" thickBot="1" x14ac:dyDescent="0.4">
      <c r="B26" s="831" t="s">
        <v>684</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row>
    <row r="27" spans="2:50" ht="31.5" customHeight="1" thickBot="1" x14ac:dyDescent="0.35">
      <c r="B27" s="829" t="s">
        <v>676</v>
      </c>
      <c r="C27" s="830" t="s">
        <v>683</v>
      </c>
      <c r="D27" s="830" t="s">
        <v>678</v>
      </c>
      <c r="E27" s="830" t="s">
        <v>679</v>
      </c>
      <c r="F27" s="830" t="s">
        <v>680</v>
      </c>
      <c r="G27" s="830" t="s">
        <v>685</v>
      </c>
      <c r="H27" s="830" t="s">
        <v>681</v>
      </c>
      <c r="I27" s="1379" t="s">
        <v>104</v>
      </c>
      <c r="J27" s="1380"/>
      <c r="K27" s="1381"/>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row>
    <row r="28" spans="2:50" ht="15.75" x14ac:dyDescent="0.3">
      <c r="B28" s="844"/>
      <c r="C28" s="709"/>
      <c r="D28" s="845"/>
      <c r="E28" s="845"/>
      <c r="F28" s="845"/>
      <c r="G28" s="766"/>
      <c r="H28" s="766"/>
      <c r="I28" s="1382"/>
      <c r="J28" s="1383"/>
      <c r="K28" s="1384"/>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row>
    <row r="29" spans="2:50" ht="15.75" x14ac:dyDescent="0.3">
      <c r="B29" s="836"/>
      <c r="C29" s="663"/>
      <c r="D29" s="837"/>
      <c r="E29" s="837"/>
      <c r="F29" s="837"/>
      <c r="G29" s="767"/>
      <c r="H29" s="767"/>
      <c r="I29" s="1388"/>
      <c r="J29" s="1389"/>
      <c r="K29" s="1390"/>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row>
    <row r="30" spans="2:50" ht="15.75" x14ac:dyDescent="0.3">
      <c r="B30" s="836"/>
      <c r="C30" s="663"/>
      <c r="D30" s="837"/>
      <c r="E30" s="837"/>
      <c r="F30" s="837"/>
      <c r="G30" s="767"/>
      <c r="H30" s="767"/>
      <c r="I30" s="1388"/>
      <c r="J30" s="1389"/>
      <c r="K30" s="1390"/>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row>
    <row r="31" spans="2:50" ht="15.75" x14ac:dyDescent="0.3">
      <c r="B31" s="836"/>
      <c r="C31" s="663"/>
      <c r="D31" s="837"/>
      <c r="E31" s="837"/>
      <c r="F31" s="837"/>
      <c r="G31" s="767"/>
      <c r="H31" s="767"/>
      <c r="I31" s="1388"/>
      <c r="J31" s="1389"/>
      <c r="K31" s="1390"/>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row>
    <row r="32" spans="2:50" ht="15.75" x14ac:dyDescent="0.3">
      <c r="B32" s="836"/>
      <c r="C32" s="663"/>
      <c r="D32" s="837"/>
      <c r="E32" s="837"/>
      <c r="F32" s="837"/>
      <c r="G32" s="767"/>
      <c r="H32" s="767"/>
      <c r="I32" s="1388"/>
      <c r="J32" s="1389"/>
      <c r="K32" s="1390"/>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row>
    <row r="33" spans="2:50" ht="15.75" customHeight="1" x14ac:dyDescent="0.3">
      <c r="B33" s="836"/>
      <c r="C33" s="663"/>
      <c r="D33" s="837"/>
      <c r="E33" s="837"/>
      <c r="F33" s="837"/>
      <c r="G33" s="767"/>
      <c r="H33" s="767"/>
      <c r="I33" s="1388"/>
      <c r="J33" s="1389"/>
      <c r="K33" s="1390"/>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row>
    <row r="34" spans="2:50" ht="15.75" x14ac:dyDescent="0.3">
      <c r="B34" s="836"/>
      <c r="C34" s="663"/>
      <c r="D34" s="837"/>
      <c r="E34" s="837"/>
      <c r="F34" s="837"/>
      <c r="G34" s="767"/>
      <c r="H34" s="767"/>
      <c r="I34" s="1388"/>
      <c r="J34" s="1389"/>
      <c r="K34" s="1390"/>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row>
    <row r="35" spans="2:50" ht="15.75" x14ac:dyDescent="0.3">
      <c r="B35" s="836"/>
      <c r="C35" s="663"/>
      <c r="D35" s="837"/>
      <c r="E35" s="837"/>
      <c r="F35" s="837"/>
      <c r="G35" s="767"/>
      <c r="H35" s="767"/>
      <c r="I35" s="1388"/>
      <c r="J35" s="1389"/>
      <c r="K35" s="1390"/>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2:50" ht="15.75" x14ac:dyDescent="0.3">
      <c r="B36" s="836"/>
      <c r="C36" s="663"/>
      <c r="D36" s="837"/>
      <c r="E36" s="837"/>
      <c r="F36" s="837"/>
      <c r="G36" s="767"/>
      <c r="H36" s="767"/>
      <c r="I36" s="1388"/>
      <c r="J36" s="1389"/>
      <c r="K36" s="1390"/>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row>
    <row r="37" spans="2:50" ht="15.75" x14ac:dyDescent="0.3">
      <c r="B37" s="836"/>
      <c r="C37" s="663"/>
      <c r="D37" s="837"/>
      <c r="E37" s="837"/>
      <c r="F37" s="837"/>
      <c r="G37" s="767"/>
      <c r="H37" s="767"/>
      <c r="I37" s="1388"/>
      <c r="J37" s="1389"/>
      <c r="K37" s="1390"/>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row>
    <row r="38" spans="2:50" ht="16.5" thickBot="1" x14ac:dyDescent="0.35">
      <c r="B38" s="840"/>
      <c r="C38" s="711"/>
      <c r="D38" s="841"/>
      <c r="E38" s="841"/>
      <c r="F38" s="841"/>
      <c r="G38" s="763"/>
      <c r="H38" s="763"/>
      <c r="I38" s="1391"/>
      <c r="J38" s="1392"/>
      <c r="K38" s="1393"/>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row>
    <row r="39" spans="2:50" ht="15.75" x14ac:dyDescent="0.3">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row>
    <row r="40" spans="2:50" ht="15.75" x14ac:dyDescent="0.3">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row>
    <row r="41" spans="2:50" ht="15.75" x14ac:dyDescent="0.3">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row>
    <row r="42" spans="2:50" ht="15.75" x14ac:dyDescent="0.3">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row>
    <row r="43" spans="2:50" ht="15.75" x14ac:dyDescent="0.3">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row>
    <row r="44" spans="2:50" ht="7.5" customHeight="1" x14ac:dyDescent="0.3">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row>
    <row r="45" spans="2:50" ht="15.75" x14ac:dyDescent="0.3">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row>
    <row r="46" spans="2:50" ht="15.75" x14ac:dyDescent="0.3">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row>
    <row r="47" spans="2:50" ht="15.75" x14ac:dyDescent="0.3">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row>
    <row r="48" spans="2:50" ht="15.75" x14ac:dyDescent="0.3">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row>
    <row r="49" spans="2:50" ht="15.75" x14ac:dyDescent="0.3">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row>
    <row r="50" spans="2:50" ht="15.75" x14ac:dyDescent="0.3">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row>
    <row r="51" spans="2:50" ht="15.75" x14ac:dyDescent="0.3">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row>
    <row r="52" spans="2:50" ht="15.75" x14ac:dyDescent="0.3">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row>
    <row r="53" spans="2:50" ht="15.75" x14ac:dyDescent="0.3">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row>
    <row r="54" spans="2:50" ht="15.75" x14ac:dyDescent="0.3">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row>
    <row r="55" spans="2:50" ht="15.75" x14ac:dyDescent="0.3">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row>
    <row r="56" spans="2:50" ht="15.75" x14ac:dyDescent="0.3">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row>
    <row r="57" spans="2:50" ht="15.75" x14ac:dyDescent="0.3">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row>
    <row r="58" spans="2:50" ht="15.75" x14ac:dyDescent="0.3">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row>
    <row r="59" spans="2:50" ht="15.75" x14ac:dyDescent="0.3">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row>
    <row r="60" spans="2:50" ht="15.75" x14ac:dyDescent="0.3">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row>
    <row r="61" spans="2:50" ht="15.75" x14ac:dyDescent="0.3">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row>
    <row r="62" spans="2:50" ht="15.75" x14ac:dyDescent="0.3">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row>
    <row r="63" spans="2:50" ht="15.75" x14ac:dyDescent="0.3">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row>
    <row r="64" spans="2:50" ht="15.75" x14ac:dyDescent="0.3">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row>
    <row r="65" spans="2:50" ht="15.75" x14ac:dyDescent="0.3">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row>
    <row r="66" spans="2:50" ht="15.75" x14ac:dyDescent="0.3">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row>
    <row r="67" spans="2:50" ht="15.75" x14ac:dyDescent="0.3">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row>
    <row r="68" spans="2:50" ht="15.75" x14ac:dyDescent="0.3">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row>
    <row r="69" spans="2:50" ht="15.75" x14ac:dyDescent="0.3">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row>
    <row r="70" spans="2:50" ht="15.75" x14ac:dyDescent="0.3">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row>
    <row r="71" spans="2:50" ht="15.75" x14ac:dyDescent="0.3">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row>
    <row r="72" spans="2:50" ht="15.75" x14ac:dyDescent="0.3">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row>
    <row r="73" spans="2:50" ht="15.75" x14ac:dyDescent="0.3">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row>
    <row r="74" spans="2:50" ht="15.75" x14ac:dyDescent="0.3">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row>
    <row r="75" spans="2:50" ht="15.75" x14ac:dyDescent="0.3">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row>
    <row r="76" spans="2:50" ht="15.75" x14ac:dyDescent="0.3">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row>
    <row r="77" spans="2:50" ht="15.75" x14ac:dyDescent="0.3">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row>
    <row r="78" spans="2:50" ht="15.75" x14ac:dyDescent="0.3">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row>
    <row r="79" spans="2:50" ht="15.75" x14ac:dyDescent="0.3">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row>
    <row r="80" spans="2:50" ht="15.75" x14ac:dyDescent="0.3">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row>
    <row r="81" spans="2:50" ht="15.75" x14ac:dyDescent="0.3">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row>
    <row r="82" spans="2:50" ht="15.75" x14ac:dyDescent="0.3">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row>
    <row r="83" spans="2:50" ht="15.75" x14ac:dyDescent="0.3">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row>
    <row r="84" spans="2:50" ht="15.75" x14ac:dyDescent="0.3">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row>
    <row r="85" spans="2:50" ht="15.75" x14ac:dyDescent="0.3">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row>
    <row r="86" spans="2:50" ht="15.75" x14ac:dyDescent="0.3">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row>
    <row r="87" spans="2:50" ht="15.75" x14ac:dyDescent="0.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row>
    <row r="88" spans="2:50" ht="15.75" x14ac:dyDescent="0.3">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row>
    <row r="89" spans="2:50" ht="15.75" x14ac:dyDescent="0.3">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row>
    <row r="90" spans="2:50" ht="15.75" x14ac:dyDescent="0.3">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row>
    <row r="91" spans="2:50" ht="15.75" x14ac:dyDescent="0.3">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row>
    <row r="92" spans="2:50" ht="15.75" x14ac:dyDescent="0.3">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row>
    <row r="93" spans="2:50" ht="15.75" x14ac:dyDescent="0.3">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row>
    <row r="94" spans="2:50" ht="15.75" x14ac:dyDescent="0.3">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row>
    <row r="95" spans="2:50" ht="15.75" x14ac:dyDescent="0.3">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row>
    <row r="96" spans="2:50" ht="15.75" x14ac:dyDescent="0.3">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row>
    <row r="97" spans="2:50" ht="15.75" x14ac:dyDescent="0.3">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row>
    <row r="98" spans="2:50" ht="15.75" x14ac:dyDescent="0.3">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row>
    <row r="99" spans="2:50" ht="15.75" x14ac:dyDescent="0.3">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row>
    <row r="100" spans="2:50" ht="15.75" x14ac:dyDescent="0.3">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row>
    <row r="101" spans="2:50" ht="15.75" x14ac:dyDescent="0.3">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row>
    <row r="102" spans="2:50" ht="15.75" x14ac:dyDescent="0.3">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row>
    <row r="103" spans="2:50" ht="15.75" x14ac:dyDescent="0.3">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row>
    <row r="104" spans="2:50" ht="15.75" x14ac:dyDescent="0.3">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row>
    <row r="105" spans="2:50" ht="15.75" x14ac:dyDescent="0.3">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row>
    <row r="106" spans="2:50" ht="15.75" x14ac:dyDescent="0.3">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row>
    <row r="107" spans="2:50" ht="15.75" x14ac:dyDescent="0.3">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row>
    <row r="108" spans="2:50" ht="15.75" x14ac:dyDescent="0.3">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row>
    <row r="109" spans="2:50" ht="15.75" x14ac:dyDescent="0.3">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row>
    <row r="110" spans="2:50" ht="15.75" x14ac:dyDescent="0.3">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row>
    <row r="111" spans="2:50" ht="15.75" x14ac:dyDescent="0.3">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row>
    <row r="112" spans="2:50" ht="15.75" x14ac:dyDescent="0.3">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row>
    <row r="113" spans="2:50" ht="15.75" x14ac:dyDescent="0.3">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row>
    <row r="114" spans="2:50" ht="15.75" x14ac:dyDescent="0.3">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row>
    <row r="115" spans="2:50" ht="15.75" x14ac:dyDescent="0.3">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row>
    <row r="116" spans="2:50" ht="15.75" x14ac:dyDescent="0.3">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row>
    <row r="117" spans="2:50" ht="15.75" x14ac:dyDescent="0.3">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row>
    <row r="118" spans="2:50" ht="15.75" x14ac:dyDescent="0.3">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row>
    <row r="119" spans="2:50" ht="15.75" x14ac:dyDescent="0.3">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row>
    <row r="120" spans="2:50" ht="15.75" x14ac:dyDescent="0.3">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row>
    <row r="121" spans="2:50" ht="15.75" x14ac:dyDescent="0.3">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row>
    <row r="122" spans="2:50" ht="15.75" x14ac:dyDescent="0.3">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row>
    <row r="123" spans="2:50" ht="15.75" x14ac:dyDescent="0.3">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row>
    <row r="124" spans="2:50" ht="15.75" x14ac:dyDescent="0.3">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row>
    <row r="125" spans="2:50" ht="15.75" x14ac:dyDescent="0.3">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row>
    <row r="126" spans="2:50" ht="15.75" x14ac:dyDescent="0.3">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row>
    <row r="127" spans="2:50" ht="15.75" x14ac:dyDescent="0.3">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row>
    <row r="128" spans="2:50" ht="15.75" x14ac:dyDescent="0.3">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row>
    <row r="129" spans="2:50" ht="15.75" x14ac:dyDescent="0.3">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row>
    <row r="130" spans="2:50" ht="15.75" x14ac:dyDescent="0.3">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row>
    <row r="131" spans="2:50" ht="15.75" x14ac:dyDescent="0.3">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row>
    <row r="132" spans="2:50" ht="15.75" x14ac:dyDescent="0.3">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row>
    <row r="133" spans="2:50" ht="15.75" x14ac:dyDescent="0.3">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row>
    <row r="134" spans="2:50" ht="15.75" x14ac:dyDescent="0.3">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row>
    <row r="135" spans="2:50" ht="15.75" x14ac:dyDescent="0.3">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row>
    <row r="136" spans="2:50" ht="15.75" x14ac:dyDescent="0.3">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row>
    <row r="137" spans="2:50" ht="15.75" x14ac:dyDescent="0.3">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row>
    <row r="138" spans="2:50" ht="15.75" x14ac:dyDescent="0.3">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row>
    <row r="139" spans="2:50" ht="15.75" x14ac:dyDescent="0.3">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row>
    <row r="140" spans="2:50" ht="15.75" x14ac:dyDescent="0.3">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row>
    <row r="141" spans="2:50" ht="15.75" x14ac:dyDescent="0.3">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row>
    <row r="142" spans="2:50" ht="15.75" x14ac:dyDescent="0.3">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row>
    <row r="143" spans="2:50" ht="15.75" x14ac:dyDescent="0.3">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row>
    <row r="144" spans="2:50" ht="15.75" x14ac:dyDescent="0.3">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row>
    <row r="145" spans="2:50" ht="15.75" x14ac:dyDescent="0.3">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row>
    <row r="146" spans="2:50" ht="15.75" x14ac:dyDescent="0.3">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row>
    <row r="147" spans="2:50" ht="15.75" x14ac:dyDescent="0.3">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row>
    <row r="148" spans="2:50" ht="15.75" x14ac:dyDescent="0.3">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row>
    <row r="149" spans="2:50" ht="15.75" x14ac:dyDescent="0.3">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row>
    <row r="150" spans="2:50" ht="15.75" x14ac:dyDescent="0.3">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row>
    <row r="151" spans="2:50" ht="15.75" x14ac:dyDescent="0.3">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row>
    <row r="152" spans="2:50" ht="15.75" x14ac:dyDescent="0.3">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row>
    <row r="153" spans="2:50" ht="15.75" x14ac:dyDescent="0.3">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row>
    <row r="154" spans="2:50" ht="15.75" x14ac:dyDescent="0.3">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row>
    <row r="155" spans="2:50" ht="15.75" x14ac:dyDescent="0.3">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row>
    <row r="156" spans="2:50" ht="15.75" x14ac:dyDescent="0.3">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row>
    <row r="157" spans="2:50" ht="15.75" x14ac:dyDescent="0.3">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row>
    <row r="158" spans="2:50" ht="15.75" x14ac:dyDescent="0.3">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row>
    <row r="159" spans="2:50" ht="15.75" x14ac:dyDescent="0.3">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row>
    <row r="160" spans="2:50" ht="15.75" x14ac:dyDescent="0.3">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row>
    <row r="161" spans="2:50" ht="15.75" x14ac:dyDescent="0.3">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row>
    <row r="162" spans="2:50" ht="15.75" x14ac:dyDescent="0.3">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row>
    <row r="163" spans="2:50" ht="15.75" x14ac:dyDescent="0.3">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row>
    <row r="164" spans="2:50" ht="15.75" x14ac:dyDescent="0.3">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row>
    <row r="165" spans="2:50" ht="15.75" x14ac:dyDescent="0.3">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row>
    <row r="166" spans="2:50" ht="15.75" x14ac:dyDescent="0.3">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row>
    <row r="167" spans="2:50" ht="15.75" x14ac:dyDescent="0.3">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row>
    <row r="168" spans="2:50" ht="15.75" x14ac:dyDescent="0.3">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row>
    <row r="169" spans="2:50" ht="15.75" x14ac:dyDescent="0.3">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row>
  </sheetData>
  <sheetProtection algorithmName="SHA-512" hashValue="Yee577TQH35Gtuwh/ZfOvDAiiBgoTPmABqf4qxNMtgI8vb5gkW/iBeWIt0RT5IOk5V8zxCYBoOEM6oBxRKl1oQ==" saltValue="jOE5PMgAQwr1REEzCWMqgQ==" spinCount="100000" sheet="1" objects="1" scenarios="1" insertRows="0"/>
  <mergeCells count="29">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 ref="I28:K28"/>
    <mergeCell ref="H21:K21"/>
    <mergeCell ref="H22:K22"/>
    <mergeCell ref="H18:K18"/>
    <mergeCell ref="H23:K23"/>
    <mergeCell ref="H24:K24"/>
    <mergeCell ref="H19:K19"/>
    <mergeCell ref="H20:K20"/>
    <mergeCell ref="H8:K8"/>
    <mergeCell ref="H9:K9"/>
    <mergeCell ref="H10:K10"/>
    <mergeCell ref="H11:K11"/>
    <mergeCell ref="I27:K27"/>
  </mergeCells>
  <pageMargins left="0.53" right="0.70866141732283472" top="0.74803149606299213" bottom="0.74803149606299213" header="0.31496062992125984" footer="0.31496062992125984"/>
  <pageSetup paperSize="9" scale="5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4ADD-20BB-4F1C-AA79-108CA193D261}">
  <sheetPr codeName="Blad12">
    <tabColor theme="0"/>
  </sheetPr>
  <dimension ref="A2:I292"/>
  <sheetViews>
    <sheetView workbookViewId="0">
      <selection activeCell="E8" sqref="E8"/>
    </sheetView>
  </sheetViews>
  <sheetFormatPr defaultRowHeight="15" x14ac:dyDescent="0.25"/>
  <cols>
    <col min="1" max="2" width="20" customWidth="1"/>
    <col min="5" max="5" width="10.7109375" bestFit="1" customWidth="1"/>
  </cols>
  <sheetData>
    <row r="2" spans="1:8" ht="30.95" customHeight="1" x14ac:dyDescent="0.25">
      <c r="A2" s="1" t="s">
        <v>686</v>
      </c>
      <c r="B2" s="1" t="s">
        <v>147</v>
      </c>
      <c r="E2" t="s">
        <v>687</v>
      </c>
      <c r="G2" t="s">
        <v>688</v>
      </c>
    </row>
    <row r="3" spans="1:8" ht="14.45" customHeight="1" x14ac:dyDescent="0.25">
      <c r="A3" s="2" t="s">
        <v>689</v>
      </c>
      <c r="B3" s="2">
        <v>1</v>
      </c>
      <c r="E3" t="s">
        <v>387</v>
      </c>
      <c r="G3" t="s">
        <v>523</v>
      </c>
    </row>
    <row r="4" spans="1:8" ht="14.45" customHeight="1" x14ac:dyDescent="0.25">
      <c r="A4" s="2" t="s">
        <v>690</v>
      </c>
      <c r="B4" s="2">
        <v>1</v>
      </c>
      <c r="E4" t="s">
        <v>522</v>
      </c>
      <c r="G4" t="s">
        <v>521</v>
      </c>
    </row>
    <row r="5" spans="1:8" ht="14.45" customHeight="1" x14ac:dyDescent="0.25">
      <c r="A5" s="2" t="s">
        <v>691</v>
      </c>
      <c r="B5" s="2">
        <v>1</v>
      </c>
      <c r="E5" t="s">
        <v>692</v>
      </c>
      <c r="G5" t="s">
        <v>693</v>
      </c>
    </row>
    <row r="6" spans="1:8" ht="14.45" customHeight="1" x14ac:dyDescent="0.25">
      <c r="A6" s="2" t="s">
        <v>694</v>
      </c>
      <c r="B6" s="2">
        <v>1</v>
      </c>
      <c r="E6" t="s">
        <v>383</v>
      </c>
      <c r="G6" t="s">
        <v>695</v>
      </c>
    </row>
    <row r="7" spans="1:8" ht="14.45" customHeight="1" x14ac:dyDescent="0.25">
      <c r="A7" s="2" t="s">
        <v>696</v>
      </c>
      <c r="B7" s="2">
        <v>1</v>
      </c>
      <c r="G7" t="s">
        <v>517</v>
      </c>
    </row>
    <row r="8" spans="1:8" ht="14.45" customHeight="1" x14ac:dyDescent="0.25">
      <c r="A8" s="2" t="s">
        <v>697</v>
      </c>
      <c r="B8" s="2">
        <v>1.7</v>
      </c>
    </row>
    <row r="9" spans="1:8" ht="14.45" customHeight="1" x14ac:dyDescent="0.25">
      <c r="A9" s="2" t="s">
        <v>698</v>
      </c>
      <c r="B9" s="2">
        <v>1.6</v>
      </c>
    </row>
    <row r="10" spans="1:8" ht="14.45" customHeight="1" x14ac:dyDescent="0.25">
      <c r="A10" s="2" t="s">
        <v>699</v>
      </c>
      <c r="B10" s="2">
        <v>1.1000000000000001</v>
      </c>
    </row>
    <row r="11" spans="1:8" ht="14.45" customHeight="1" x14ac:dyDescent="0.25">
      <c r="A11" s="2" t="s">
        <v>700</v>
      </c>
      <c r="B11" s="2">
        <v>1.1000000000000001</v>
      </c>
    </row>
    <row r="12" spans="1:8" ht="14.45" customHeight="1" x14ac:dyDescent="0.25">
      <c r="A12" s="2" t="s">
        <v>701</v>
      </c>
      <c r="B12" s="2">
        <v>1.1000000000000001</v>
      </c>
    </row>
    <row r="13" spans="1:8" ht="14.45" customHeight="1" x14ac:dyDescent="0.25">
      <c r="A13" s="2" t="s">
        <v>702</v>
      </c>
      <c r="B13" s="2">
        <v>1</v>
      </c>
      <c r="H13" s="3" t="s">
        <v>703</v>
      </c>
    </row>
    <row r="14" spans="1:8" ht="14.45" customHeight="1" x14ac:dyDescent="0.25">
      <c r="A14" s="2" t="s">
        <v>693</v>
      </c>
      <c r="B14" s="2">
        <v>1.4</v>
      </c>
    </row>
    <row r="15" spans="1:8" ht="14.45" customHeight="1" x14ac:dyDescent="0.25">
      <c r="A15" s="2" t="s">
        <v>704</v>
      </c>
      <c r="B15" s="2">
        <v>1.4</v>
      </c>
    </row>
    <row r="16" spans="1:8" ht="14.45" customHeight="1" x14ac:dyDescent="0.25">
      <c r="A16" s="2" t="s">
        <v>705</v>
      </c>
      <c r="B16" s="2">
        <v>0.9</v>
      </c>
    </row>
    <row r="17" spans="1:9" ht="14.45" customHeight="1" x14ac:dyDescent="0.25">
      <c r="A17" s="2" t="s">
        <v>706</v>
      </c>
      <c r="B17" s="2">
        <v>1.5</v>
      </c>
    </row>
    <row r="18" spans="1:9" ht="14.45" customHeight="1" x14ac:dyDescent="0.25">
      <c r="A18" s="2" t="s">
        <v>707</v>
      </c>
      <c r="B18" s="2">
        <v>1</v>
      </c>
      <c r="E18" t="s">
        <v>708</v>
      </c>
      <c r="F18" s="4"/>
      <c r="G18" t="s">
        <v>709</v>
      </c>
      <c r="H18" t="s">
        <v>710</v>
      </c>
      <c r="I18" t="s">
        <v>711</v>
      </c>
    </row>
    <row r="19" spans="1:9" ht="14.45" customHeight="1" x14ac:dyDescent="0.25">
      <c r="A19" s="2" t="s">
        <v>712</v>
      </c>
      <c r="B19" s="2">
        <v>1.2</v>
      </c>
      <c r="E19" t="s">
        <v>713</v>
      </c>
      <c r="G19" t="s">
        <v>714</v>
      </c>
      <c r="H19" t="s">
        <v>715</v>
      </c>
    </row>
    <row r="20" spans="1:9" ht="14.45" customHeight="1" x14ac:dyDescent="0.25">
      <c r="A20" s="2" t="s">
        <v>716</v>
      </c>
      <c r="B20" s="2">
        <v>0.9</v>
      </c>
      <c r="E20" t="s">
        <v>717</v>
      </c>
      <c r="G20" t="s">
        <v>718</v>
      </c>
      <c r="H20" t="s">
        <v>719</v>
      </c>
    </row>
    <row r="21" spans="1:9" ht="14.45" customHeight="1" x14ac:dyDescent="0.25">
      <c r="A21" s="2" t="s">
        <v>720</v>
      </c>
      <c r="B21" s="2">
        <v>1.2</v>
      </c>
      <c r="E21" t="s">
        <v>721</v>
      </c>
      <c r="G21">
        <v>29</v>
      </c>
      <c r="H21">
        <v>25</v>
      </c>
    </row>
    <row r="22" spans="1:9" ht="14.45" customHeight="1" x14ac:dyDescent="0.25">
      <c r="A22" s="2" t="s">
        <v>722</v>
      </c>
      <c r="B22" s="2">
        <v>1</v>
      </c>
    </row>
    <row r="23" spans="1:9" ht="14.45" customHeight="1" x14ac:dyDescent="0.25">
      <c r="A23" s="2" t="s">
        <v>723</v>
      </c>
      <c r="B23" s="2">
        <v>1</v>
      </c>
    </row>
    <row r="24" spans="1:9" ht="14.45" customHeight="1" x14ac:dyDescent="0.25">
      <c r="A24" s="2" t="s">
        <v>724</v>
      </c>
      <c r="B24" s="2">
        <v>1</v>
      </c>
    </row>
    <row r="25" spans="1:9" ht="14.45" customHeight="1" x14ac:dyDescent="0.25">
      <c r="A25" s="2" t="s">
        <v>725</v>
      </c>
      <c r="B25" s="2">
        <v>0.9</v>
      </c>
    </row>
    <row r="26" spans="1:9" ht="14.45" customHeight="1" x14ac:dyDescent="0.25">
      <c r="A26" s="2" t="s">
        <v>726</v>
      </c>
      <c r="B26" s="2">
        <v>1.4</v>
      </c>
    </row>
    <row r="27" spans="1:9" ht="14.45" customHeight="1" x14ac:dyDescent="0.25">
      <c r="A27" s="2" t="s">
        <v>727</v>
      </c>
      <c r="B27" s="2">
        <v>0.9</v>
      </c>
    </row>
    <row r="28" spans="1:9" ht="14.45" customHeight="1" x14ac:dyDescent="0.25">
      <c r="A28" s="2" t="s">
        <v>728</v>
      </c>
      <c r="B28" s="2">
        <v>0.9</v>
      </c>
    </row>
    <row r="29" spans="1:9" ht="14.45" customHeight="1" x14ac:dyDescent="0.25">
      <c r="A29" s="2" t="s">
        <v>729</v>
      </c>
      <c r="B29" s="2">
        <v>1</v>
      </c>
    </row>
    <row r="30" spans="1:9" ht="14.45" customHeight="1" x14ac:dyDescent="0.25">
      <c r="A30" s="2" t="s">
        <v>730</v>
      </c>
      <c r="B30" s="2">
        <v>1</v>
      </c>
    </row>
    <row r="31" spans="1:9" ht="14.45" customHeight="1" x14ac:dyDescent="0.25">
      <c r="A31" s="2" t="s">
        <v>731</v>
      </c>
      <c r="B31" s="2">
        <v>1.1000000000000001</v>
      </c>
    </row>
    <row r="32" spans="1:9" ht="14.45" customHeight="1" x14ac:dyDescent="0.25">
      <c r="A32" s="2" t="s">
        <v>732</v>
      </c>
      <c r="B32" s="2">
        <v>1.5</v>
      </c>
    </row>
    <row r="33" spans="1:2" ht="14.45" customHeight="1" x14ac:dyDescent="0.25">
      <c r="A33" s="2" t="s">
        <v>733</v>
      </c>
      <c r="B33" s="2">
        <v>1.1000000000000001</v>
      </c>
    </row>
    <row r="34" spans="1:2" ht="14.45" customHeight="1" x14ac:dyDescent="0.25">
      <c r="A34" s="2" t="s">
        <v>734</v>
      </c>
      <c r="B34" s="2">
        <v>1</v>
      </c>
    </row>
    <row r="35" spans="1:2" ht="14.45" customHeight="1" x14ac:dyDescent="0.25">
      <c r="A35" s="2" t="s">
        <v>735</v>
      </c>
      <c r="B35" s="2">
        <v>1.1000000000000001</v>
      </c>
    </row>
    <row r="36" spans="1:2" ht="14.45" customHeight="1" x14ac:dyDescent="0.25">
      <c r="A36" s="2" t="s">
        <v>736</v>
      </c>
      <c r="B36" s="2">
        <v>0.9</v>
      </c>
    </row>
    <row r="37" spans="1:2" ht="14.45" customHeight="1" x14ac:dyDescent="0.25">
      <c r="A37" s="2" t="s">
        <v>737</v>
      </c>
      <c r="B37" s="2">
        <v>1</v>
      </c>
    </row>
    <row r="38" spans="1:2" ht="14.45" customHeight="1" x14ac:dyDescent="0.25">
      <c r="A38" s="2" t="s">
        <v>738</v>
      </c>
      <c r="B38" s="2">
        <v>1</v>
      </c>
    </row>
    <row r="39" spans="1:2" ht="14.45" customHeight="1" x14ac:dyDescent="0.25">
      <c r="A39" s="2" t="s">
        <v>739</v>
      </c>
      <c r="B39" s="2">
        <v>0.9</v>
      </c>
    </row>
    <row r="40" spans="1:2" ht="14.45" customHeight="1" x14ac:dyDescent="0.25">
      <c r="A40" s="2" t="s">
        <v>740</v>
      </c>
      <c r="B40" s="2">
        <v>1</v>
      </c>
    </row>
    <row r="41" spans="1:2" ht="14.45" customHeight="1" x14ac:dyDescent="0.25">
      <c r="A41" s="2" t="s">
        <v>741</v>
      </c>
      <c r="B41" s="2">
        <v>1.1000000000000001</v>
      </c>
    </row>
    <row r="42" spans="1:2" ht="14.45" customHeight="1" x14ac:dyDescent="0.25">
      <c r="A42" s="2" t="s">
        <v>742</v>
      </c>
      <c r="B42" s="2">
        <v>0.9</v>
      </c>
    </row>
    <row r="43" spans="1:2" ht="14.45" customHeight="1" x14ac:dyDescent="0.25">
      <c r="A43" s="2" t="s">
        <v>743</v>
      </c>
      <c r="B43" s="2">
        <v>1</v>
      </c>
    </row>
    <row r="44" spans="1:2" ht="14.45" customHeight="1" x14ac:dyDescent="0.25">
      <c r="A44" s="2" t="s">
        <v>744</v>
      </c>
      <c r="B44" s="2">
        <v>1.2</v>
      </c>
    </row>
    <row r="45" spans="1:2" ht="14.45" customHeight="1" x14ac:dyDescent="0.25">
      <c r="A45" s="2" t="s">
        <v>745</v>
      </c>
      <c r="B45" s="2">
        <v>1.1000000000000001</v>
      </c>
    </row>
    <row r="46" spans="1:2" ht="14.45" customHeight="1" x14ac:dyDescent="0.25">
      <c r="A46" s="2" t="s">
        <v>746</v>
      </c>
      <c r="B46" s="2">
        <v>1</v>
      </c>
    </row>
    <row r="47" spans="1:2" ht="14.45" customHeight="1" x14ac:dyDescent="0.25">
      <c r="A47" s="2" t="s">
        <v>747</v>
      </c>
      <c r="B47" s="2">
        <v>1</v>
      </c>
    </row>
    <row r="48" spans="1:2" ht="14.45" customHeight="1" x14ac:dyDescent="0.25">
      <c r="A48" s="2" t="s">
        <v>748</v>
      </c>
      <c r="B48" s="2">
        <v>1.1000000000000001</v>
      </c>
    </row>
    <row r="49" spans="1:2" ht="14.45" customHeight="1" x14ac:dyDescent="0.25">
      <c r="A49" s="2" t="s">
        <v>749</v>
      </c>
      <c r="B49" s="2">
        <v>1</v>
      </c>
    </row>
    <row r="50" spans="1:2" ht="14.45" customHeight="1" x14ac:dyDescent="0.25">
      <c r="A50" s="2" t="s">
        <v>750</v>
      </c>
      <c r="B50" s="2">
        <v>1.2</v>
      </c>
    </row>
    <row r="51" spans="1:2" ht="14.45" customHeight="1" x14ac:dyDescent="0.25">
      <c r="A51" s="2" t="s">
        <v>751</v>
      </c>
      <c r="B51" s="2">
        <v>1</v>
      </c>
    </row>
    <row r="52" spans="1:2" ht="14.45" customHeight="1" x14ac:dyDescent="0.25">
      <c r="A52" s="2" t="s">
        <v>752</v>
      </c>
      <c r="B52" s="2">
        <v>1</v>
      </c>
    </row>
    <row r="53" spans="1:2" ht="14.45" customHeight="1" x14ac:dyDescent="0.25">
      <c r="A53" s="2" t="s">
        <v>753</v>
      </c>
      <c r="B53" s="2">
        <v>1</v>
      </c>
    </row>
    <row r="54" spans="1:2" ht="14.45" customHeight="1" x14ac:dyDescent="0.25">
      <c r="A54" s="2" t="s">
        <v>754</v>
      </c>
      <c r="B54" s="2">
        <v>0.9</v>
      </c>
    </row>
    <row r="55" spans="1:2" ht="14.45" customHeight="1" x14ac:dyDescent="0.25">
      <c r="A55" s="2" t="s">
        <v>755</v>
      </c>
      <c r="B55" s="2">
        <v>1</v>
      </c>
    </row>
    <row r="56" spans="1:2" ht="14.45" customHeight="1" x14ac:dyDescent="0.25">
      <c r="A56" s="2" t="s">
        <v>756</v>
      </c>
      <c r="B56" s="2">
        <v>1</v>
      </c>
    </row>
    <row r="57" spans="1:2" ht="14.45" customHeight="1" x14ac:dyDescent="0.25">
      <c r="A57" s="2" t="s">
        <v>757</v>
      </c>
      <c r="B57" s="2">
        <v>1</v>
      </c>
    </row>
    <row r="58" spans="1:2" ht="14.45" customHeight="1" x14ac:dyDescent="0.25">
      <c r="A58" s="2" t="s">
        <v>758</v>
      </c>
      <c r="B58" s="2">
        <v>1.9</v>
      </c>
    </row>
    <row r="59" spans="1:2" ht="14.45" customHeight="1" x14ac:dyDescent="0.25">
      <c r="A59" s="2" t="s">
        <v>759</v>
      </c>
      <c r="B59" s="2">
        <v>1.1000000000000001</v>
      </c>
    </row>
    <row r="60" spans="1:2" ht="14.45" customHeight="1" x14ac:dyDescent="0.25">
      <c r="A60" s="2" t="s">
        <v>760</v>
      </c>
      <c r="B60" s="2">
        <v>0.9</v>
      </c>
    </row>
    <row r="61" spans="1:2" ht="14.45" customHeight="1" x14ac:dyDescent="0.25">
      <c r="A61" s="2" t="s">
        <v>761</v>
      </c>
      <c r="B61" s="2">
        <v>1</v>
      </c>
    </row>
    <row r="62" spans="1:2" ht="14.45" customHeight="1" x14ac:dyDescent="0.25">
      <c r="A62" s="2" t="s">
        <v>762</v>
      </c>
      <c r="B62" s="2">
        <v>1</v>
      </c>
    </row>
    <row r="63" spans="1:2" ht="14.45" customHeight="1" x14ac:dyDescent="0.25">
      <c r="A63" s="2" t="s">
        <v>763</v>
      </c>
      <c r="B63" s="2">
        <v>1.2</v>
      </c>
    </row>
    <row r="64" spans="1:2" ht="14.45" customHeight="1" x14ac:dyDescent="0.25">
      <c r="A64" s="2" t="s">
        <v>764</v>
      </c>
      <c r="B64" s="2">
        <v>1</v>
      </c>
    </row>
    <row r="65" spans="1:2" ht="14.45" customHeight="1" x14ac:dyDescent="0.25">
      <c r="A65" s="2" t="s">
        <v>765</v>
      </c>
      <c r="B65" s="2">
        <v>1</v>
      </c>
    </row>
    <row r="66" spans="1:2" ht="14.45" customHeight="1" x14ac:dyDescent="0.25">
      <c r="A66" s="2" t="s">
        <v>766</v>
      </c>
      <c r="B66" s="2">
        <v>0.9</v>
      </c>
    </row>
    <row r="67" spans="1:2" ht="14.45" customHeight="1" x14ac:dyDescent="0.25">
      <c r="A67" s="2" t="s">
        <v>767</v>
      </c>
      <c r="B67" s="2">
        <v>1.1000000000000001</v>
      </c>
    </row>
    <row r="68" spans="1:2" ht="14.45" customHeight="1" x14ac:dyDescent="0.25">
      <c r="A68" s="2" t="s">
        <v>768</v>
      </c>
      <c r="B68" s="2">
        <v>1</v>
      </c>
    </row>
    <row r="69" spans="1:2" ht="14.45" customHeight="1" x14ac:dyDescent="0.25">
      <c r="A69" s="2" t="s">
        <v>769</v>
      </c>
      <c r="B69" s="2">
        <v>1.5</v>
      </c>
    </row>
    <row r="70" spans="1:2" ht="14.45" customHeight="1" x14ac:dyDescent="0.25">
      <c r="A70" s="2" t="s">
        <v>770</v>
      </c>
      <c r="B70" s="2">
        <v>1.1000000000000001</v>
      </c>
    </row>
    <row r="71" spans="1:2" ht="14.45" customHeight="1" x14ac:dyDescent="0.25">
      <c r="A71" s="2" t="s">
        <v>771</v>
      </c>
      <c r="B71" s="2">
        <v>1.1000000000000001</v>
      </c>
    </row>
    <row r="72" spans="1:2" ht="14.45" customHeight="1" x14ac:dyDescent="0.25">
      <c r="A72" s="2" t="s">
        <v>772</v>
      </c>
      <c r="B72" s="2">
        <v>0.9</v>
      </c>
    </row>
    <row r="73" spans="1:2" ht="14.45" customHeight="1" x14ac:dyDescent="0.25">
      <c r="A73" s="2" t="s">
        <v>773</v>
      </c>
      <c r="B73" s="2">
        <v>1</v>
      </c>
    </row>
    <row r="74" spans="1:2" ht="14.45" customHeight="1" x14ac:dyDescent="0.25">
      <c r="A74" s="2" t="s">
        <v>774</v>
      </c>
      <c r="B74" s="2">
        <v>1</v>
      </c>
    </row>
    <row r="75" spans="1:2" ht="14.45" customHeight="1" x14ac:dyDescent="0.25">
      <c r="A75" s="2" t="s">
        <v>775</v>
      </c>
      <c r="B75" s="2">
        <v>1.2</v>
      </c>
    </row>
    <row r="76" spans="1:2" ht="14.45" customHeight="1" x14ac:dyDescent="0.25">
      <c r="A76" s="2" t="s">
        <v>776</v>
      </c>
      <c r="B76" s="2">
        <v>1</v>
      </c>
    </row>
    <row r="77" spans="1:2" ht="14.45" customHeight="1" x14ac:dyDescent="0.25">
      <c r="A77" s="2" t="s">
        <v>777</v>
      </c>
      <c r="B77" s="2">
        <v>1.2</v>
      </c>
    </row>
    <row r="78" spans="1:2" ht="14.45" customHeight="1" x14ac:dyDescent="0.25">
      <c r="A78" s="2" t="s">
        <v>778</v>
      </c>
      <c r="B78" s="2">
        <v>1</v>
      </c>
    </row>
    <row r="79" spans="1:2" ht="14.45" customHeight="1" x14ac:dyDescent="0.25">
      <c r="A79" s="2" t="s">
        <v>779</v>
      </c>
      <c r="B79" s="2">
        <v>1</v>
      </c>
    </row>
    <row r="80" spans="1:2" ht="14.45" customHeight="1" x14ac:dyDescent="0.25">
      <c r="A80" s="2" t="s">
        <v>780</v>
      </c>
      <c r="B80" s="2">
        <v>1</v>
      </c>
    </row>
    <row r="81" spans="1:2" ht="14.45" customHeight="1" x14ac:dyDescent="0.25">
      <c r="A81" s="2" t="s">
        <v>781</v>
      </c>
      <c r="B81" s="2">
        <v>1.1000000000000001</v>
      </c>
    </row>
    <row r="82" spans="1:2" ht="14.45" customHeight="1" x14ac:dyDescent="0.25">
      <c r="A82" s="2" t="s">
        <v>782</v>
      </c>
      <c r="B82" s="2">
        <v>1.5</v>
      </c>
    </row>
    <row r="83" spans="1:2" ht="14.45" customHeight="1" x14ac:dyDescent="0.25">
      <c r="A83" s="2" t="s">
        <v>783</v>
      </c>
      <c r="B83" s="2">
        <v>1.3</v>
      </c>
    </row>
    <row r="84" spans="1:2" ht="14.45" customHeight="1" x14ac:dyDescent="0.25">
      <c r="A84" s="2" t="s">
        <v>784</v>
      </c>
      <c r="B84" s="2">
        <v>0.9</v>
      </c>
    </row>
    <row r="85" spans="1:2" ht="14.45" customHeight="1" x14ac:dyDescent="0.25">
      <c r="A85" s="2" t="s">
        <v>785</v>
      </c>
      <c r="B85" s="2">
        <v>0.9</v>
      </c>
    </row>
    <row r="86" spans="1:2" ht="14.45" customHeight="1" x14ac:dyDescent="0.25">
      <c r="A86" s="2" t="s">
        <v>786</v>
      </c>
      <c r="B86" s="2">
        <v>0.8</v>
      </c>
    </row>
    <row r="87" spans="1:2" ht="14.45" customHeight="1" x14ac:dyDescent="0.25">
      <c r="A87" s="2" t="s">
        <v>787</v>
      </c>
      <c r="B87" s="2">
        <v>1</v>
      </c>
    </row>
    <row r="88" spans="1:2" ht="14.45" customHeight="1" x14ac:dyDescent="0.25">
      <c r="A88" s="2" t="s">
        <v>788</v>
      </c>
      <c r="B88" s="2">
        <v>0.9</v>
      </c>
    </row>
    <row r="89" spans="1:2" ht="14.45" customHeight="1" x14ac:dyDescent="0.25">
      <c r="A89" s="2" t="s">
        <v>789</v>
      </c>
      <c r="B89" s="2">
        <v>0.9</v>
      </c>
    </row>
    <row r="90" spans="1:2" ht="14.45" customHeight="1" x14ac:dyDescent="0.25">
      <c r="A90" s="2" t="s">
        <v>790</v>
      </c>
      <c r="B90" s="2">
        <v>1.8</v>
      </c>
    </row>
    <row r="91" spans="1:2" ht="14.45" customHeight="1" x14ac:dyDescent="0.25">
      <c r="A91" s="2" t="s">
        <v>791</v>
      </c>
      <c r="B91" s="2">
        <v>1</v>
      </c>
    </row>
    <row r="92" spans="1:2" ht="14.45" customHeight="1" x14ac:dyDescent="0.25">
      <c r="A92" s="2" t="s">
        <v>792</v>
      </c>
      <c r="B92" s="2">
        <v>1</v>
      </c>
    </row>
    <row r="93" spans="1:2" ht="14.45" customHeight="1" x14ac:dyDescent="0.25">
      <c r="A93" s="2" t="s">
        <v>793</v>
      </c>
      <c r="B93" s="2">
        <v>1.5</v>
      </c>
    </row>
    <row r="94" spans="1:2" ht="14.45" customHeight="1" x14ac:dyDescent="0.25">
      <c r="A94" s="2" t="s">
        <v>794</v>
      </c>
      <c r="B94" s="2">
        <v>0.9</v>
      </c>
    </row>
    <row r="95" spans="1:2" ht="14.45" customHeight="1" x14ac:dyDescent="0.25">
      <c r="A95" s="2" t="s">
        <v>795</v>
      </c>
      <c r="B95" s="2">
        <v>1</v>
      </c>
    </row>
    <row r="96" spans="1:2" ht="14.45" customHeight="1" x14ac:dyDescent="0.25">
      <c r="A96" s="2" t="s">
        <v>796</v>
      </c>
      <c r="B96" s="2">
        <v>0.9</v>
      </c>
    </row>
    <row r="97" spans="1:2" ht="14.45" customHeight="1" x14ac:dyDescent="0.25">
      <c r="A97" s="2" t="s">
        <v>797</v>
      </c>
      <c r="B97" s="2">
        <v>1.1000000000000001</v>
      </c>
    </row>
    <row r="98" spans="1:2" ht="14.45" customHeight="1" x14ac:dyDescent="0.25">
      <c r="A98" s="2" t="s">
        <v>798</v>
      </c>
      <c r="B98" s="2">
        <v>0.9</v>
      </c>
    </row>
    <row r="99" spans="1:2" ht="14.45" customHeight="1" x14ac:dyDescent="0.25">
      <c r="A99" s="2" t="s">
        <v>799</v>
      </c>
      <c r="B99" s="2">
        <v>1.1000000000000001</v>
      </c>
    </row>
    <row r="100" spans="1:2" ht="14.45" customHeight="1" x14ac:dyDescent="0.25">
      <c r="A100" s="2" t="s">
        <v>800</v>
      </c>
      <c r="B100" s="2">
        <v>1</v>
      </c>
    </row>
    <row r="101" spans="1:2" ht="14.45" customHeight="1" x14ac:dyDescent="0.25">
      <c r="A101" s="2" t="s">
        <v>801</v>
      </c>
      <c r="B101" s="2">
        <v>1.1000000000000001</v>
      </c>
    </row>
    <row r="102" spans="1:2" ht="14.45" customHeight="1" x14ac:dyDescent="0.25">
      <c r="A102" s="2" t="s">
        <v>802</v>
      </c>
      <c r="B102" s="2">
        <v>1</v>
      </c>
    </row>
    <row r="103" spans="1:2" ht="14.45" customHeight="1" x14ac:dyDescent="0.25">
      <c r="A103" s="2" t="s">
        <v>803</v>
      </c>
      <c r="B103" s="2">
        <v>1.9</v>
      </c>
    </row>
    <row r="104" spans="1:2" ht="14.45" customHeight="1" x14ac:dyDescent="0.25">
      <c r="A104" s="2" t="s">
        <v>804</v>
      </c>
      <c r="B104" s="2">
        <v>0.9</v>
      </c>
    </row>
    <row r="105" spans="1:2" ht="14.45" customHeight="1" x14ac:dyDescent="0.25">
      <c r="A105" s="2" t="s">
        <v>805</v>
      </c>
      <c r="B105" s="2">
        <v>1</v>
      </c>
    </row>
    <row r="106" spans="1:2" ht="14.45" customHeight="1" x14ac:dyDescent="0.25">
      <c r="A106" s="2" t="s">
        <v>806</v>
      </c>
      <c r="B106" s="2">
        <v>1.3</v>
      </c>
    </row>
    <row r="107" spans="1:2" ht="14.45" customHeight="1" x14ac:dyDescent="0.25">
      <c r="A107" s="2" t="s">
        <v>807</v>
      </c>
      <c r="B107" s="2">
        <v>0.9</v>
      </c>
    </row>
    <row r="108" spans="1:2" ht="14.45" customHeight="1" x14ac:dyDescent="0.25">
      <c r="A108" s="2" t="s">
        <v>808</v>
      </c>
      <c r="B108" s="2">
        <v>1.1000000000000001</v>
      </c>
    </row>
    <row r="109" spans="1:2" ht="14.45" customHeight="1" x14ac:dyDescent="0.25">
      <c r="A109" s="2" t="s">
        <v>809</v>
      </c>
      <c r="B109" s="2">
        <v>1.5</v>
      </c>
    </row>
    <row r="110" spans="1:2" ht="14.45" customHeight="1" x14ac:dyDescent="0.25">
      <c r="A110" s="2" t="s">
        <v>810</v>
      </c>
      <c r="B110" s="2">
        <v>1</v>
      </c>
    </row>
    <row r="111" spans="1:2" ht="14.45" customHeight="1" x14ac:dyDescent="0.25">
      <c r="A111" s="2" t="s">
        <v>811</v>
      </c>
      <c r="B111" s="2">
        <v>0.9</v>
      </c>
    </row>
    <row r="112" spans="1:2" ht="14.45" customHeight="1" x14ac:dyDescent="0.25">
      <c r="A112" s="2" t="s">
        <v>812</v>
      </c>
      <c r="B112" s="2">
        <v>1</v>
      </c>
    </row>
    <row r="113" spans="1:2" ht="14.45" customHeight="1" x14ac:dyDescent="0.25">
      <c r="A113" s="2" t="s">
        <v>813</v>
      </c>
      <c r="B113" s="2">
        <v>0.9</v>
      </c>
    </row>
    <row r="114" spans="1:2" ht="14.45" customHeight="1" x14ac:dyDescent="0.25">
      <c r="A114" s="2" t="s">
        <v>814</v>
      </c>
      <c r="B114" s="2">
        <v>0.9</v>
      </c>
    </row>
    <row r="115" spans="1:2" ht="14.45" customHeight="1" x14ac:dyDescent="0.25">
      <c r="A115" s="2" t="s">
        <v>815</v>
      </c>
      <c r="B115" s="2">
        <v>1</v>
      </c>
    </row>
    <row r="116" spans="1:2" ht="14.45" customHeight="1" x14ac:dyDescent="0.25">
      <c r="A116" s="2" t="s">
        <v>816</v>
      </c>
      <c r="B116" s="2">
        <v>0.9</v>
      </c>
    </row>
    <row r="117" spans="1:2" ht="14.45" customHeight="1" x14ac:dyDescent="0.25">
      <c r="A117" s="2" t="s">
        <v>817</v>
      </c>
      <c r="B117" s="2">
        <v>0.8</v>
      </c>
    </row>
    <row r="118" spans="1:2" ht="14.45" customHeight="1" x14ac:dyDescent="0.25">
      <c r="A118" s="2" t="s">
        <v>818</v>
      </c>
      <c r="B118" s="2">
        <v>1</v>
      </c>
    </row>
    <row r="119" spans="1:2" ht="14.45" customHeight="1" x14ac:dyDescent="0.25">
      <c r="A119" s="2" t="s">
        <v>819</v>
      </c>
      <c r="B119" s="2">
        <v>1</v>
      </c>
    </row>
    <row r="120" spans="1:2" ht="14.45" customHeight="1" x14ac:dyDescent="0.25">
      <c r="A120" s="2" t="s">
        <v>820</v>
      </c>
      <c r="B120" s="2">
        <v>1.2</v>
      </c>
    </row>
    <row r="121" spans="1:2" ht="14.45" customHeight="1" x14ac:dyDescent="0.25">
      <c r="A121" s="2" t="s">
        <v>821</v>
      </c>
      <c r="B121" s="2">
        <v>0.9</v>
      </c>
    </row>
    <row r="122" spans="1:2" ht="14.45" customHeight="1" x14ac:dyDescent="0.25">
      <c r="A122" s="2" t="s">
        <v>822</v>
      </c>
      <c r="B122" s="2">
        <v>1</v>
      </c>
    </row>
    <row r="123" spans="1:2" ht="14.45" customHeight="1" x14ac:dyDescent="0.25">
      <c r="A123" s="2" t="s">
        <v>823</v>
      </c>
      <c r="B123" s="2">
        <v>1</v>
      </c>
    </row>
    <row r="124" spans="1:2" ht="14.45" customHeight="1" x14ac:dyDescent="0.25">
      <c r="A124" s="2" t="s">
        <v>824</v>
      </c>
      <c r="B124" s="2">
        <v>1</v>
      </c>
    </row>
    <row r="125" spans="1:2" ht="14.45" customHeight="1" x14ac:dyDescent="0.25">
      <c r="A125" s="2" t="s">
        <v>825</v>
      </c>
      <c r="B125" s="2">
        <v>1</v>
      </c>
    </row>
    <row r="126" spans="1:2" ht="14.45" customHeight="1" x14ac:dyDescent="0.25">
      <c r="A126" s="2" t="s">
        <v>826</v>
      </c>
      <c r="B126" s="2">
        <v>1.1000000000000001</v>
      </c>
    </row>
    <row r="127" spans="1:2" ht="14.45" customHeight="1" x14ac:dyDescent="0.25">
      <c r="A127" s="2" t="s">
        <v>827</v>
      </c>
      <c r="B127" s="2">
        <v>1</v>
      </c>
    </row>
    <row r="128" spans="1:2" ht="14.45" customHeight="1" x14ac:dyDescent="0.25">
      <c r="A128" s="2" t="s">
        <v>828</v>
      </c>
      <c r="B128" s="2">
        <v>1</v>
      </c>
    </row>
    <row r="129" spans="1:2" ht="14.45" customHeight="1" x14ac:dyDescent="0.25">
      <c r="A129" s="2" t="s">
        <v>829</v>
      </c>
      <c r="B129" s="2">
        <v>1.3</v>
      </c>
    </row>
    <row r="130" spans="1:2" ht="14.45" customHeight="1" x14ac:dyDescent="0.25">
      <c r="A130" s="2" t="s">
        <v>830</v>
      </c>
      <c r="B130" s="2">
        <v>1.2</v>
      </c>
    </row>
    <row r="131" spans="1:2" ht="14.45" customHeight="1" x14ac:dyDescent="0.25">
      <c r="A131" s="2" t="s">
        <v>831</v>
      </c>
      <c r="B131" s="2">
        <v>0.8</v>
      </c>
    </row>
    <row r="132" spans="1:2" ht="14.45" customHeight="1" x14ac:dyDescent="0.25">
      <c r="A132" s="2" t="s">
        <v>832</v>
      </c>
      <c r="B132" s="2">
        <v>1.2</v>
      </c>
    </row>
    <row r="133" spans="1:2" ht="14.45" customHeight="1" x14ac:dyDescent="0.25">
      <c r="A133" s="2" t="s">
        <v>833</v>
      </c>
      <c r="B133" s="2">
        <v>1.5</v>
      </c>
    </row>
    <row r="134" spans="1:2" ht="14.45" customHeight="1" x14ac:dyDescent="0.25">
      <c r="A134" s="2" t="s">
        <v>834</v>
      </c>
      <c r="B134" s="2">
        <v>0.9</v>
      </c>
    </row>
    <row r="135" spans="1:2" ht="14.45" customHeight="1" x14ac:dyDescent="0.25">
      <c r="A135" s="2" t="s">
        <v>835</v>
      </c>
      <c r="B135" s="2">
        <v>1.5</v>
      </c>
    </row>
    <row r="136" spans="1:2" ht="14.45" customHeight="1" x14ac:dyDescent="0.25">
      <c r="A136" s="2" t="s">
        <v>836</v>
      </c>
      <c r="B136" s="2">
        <v>0.9</v>
      </c>
    </row>
    <row r="137" spans="1:2" ht="14.45" customHeight="1" x14ac:dyDescent="0.25">
      <c r="A137" s="2" t="s">
        <v>837</v>
      </c>
      <c r="B137" s="2">
        <v>0.8</v>
      </c>
    </row>
    <row r="138" spans="1:2" ht="14.45" customHeight="1" x14ac:dyDescent="0.25">
      <c r="A138" t="s">
        <v>838</v>
      </c>
      <c r="B138" s="2">
        <v>1.4</v>
      </c>
    </row>
    <row r="139" spans="1:2" ht="14.45" customHeight="1" x14ac:dyDescent="0.25">
      <c r="A139" s="2" t="s">
        <v>839</v>
      </c>
      <c r="B139" s="2">
        <v>1.6</v>
      </c>
    </row>
    <row r="140" spans="1:2" ht="14.45" customHeight="1" x14ac:dyDescent="0.25">
      <c r="A140" s="2" t="s">
        <v>840</v>
      </c>
      <c r="B140" s="2">
        <v>1</v>
      </c>
    </row>
    <row r="141" spans="1:2" ht="14.45" customHeight="1" x14ac:dyDescent="0.25">
      <c r="A141" s="2" t="s">
        <v>695</v>
      </c>
      <c r="B141" s="2">
        <v>1</v>
      </c>
    </row>
    <row r="142" spans="1:2" ht="14.45" customHeight="1" x14ac:dyDescent="0.25">
      <c r="A142" s="2" t="s">
        <v>841</v>
      </c>
      <c r="B142" s="2">
        <v>1</v>
      </c>
    </row>
    <row r="143" spans="1:2" ht="14.45" customHeight="1" x14ac:dyDescent="0.25">
      <c r="A143" s="2" t="s">
        <v>842</v>
      </c>
      <c r="B143" s="2">
        <v>1</v>
      </c>
    </row>
    <row r="144" spans="1:2" ht="14.45" customHeight="1" x14ac:dyDescent="0.25">
      <c r="A144" s="2" t="s">
        <v>843</v>
      </c>
      <c r="B144" s="2">
        <v>1</v>
      </c>
    </row>
    <row r="145" spans="1:2" ht="14.45" customHeight="1" x14ac:dyDescent="0.25">
      <c r="A145" s="2" t="s">
        <v>844</v>
      </c>
      <c r="B145" s="2">
        <v>1.2</v>
      </c>
    </row>
    <row r="146" spans="1:2" ht="14.45" customHeight="1" x14ac:dyDescent="0.25">
      <c r="A146" s="2" t="s">
        <v>845</v>
      </c>
      <c r="B146" s="2">
        <v>1</v>
      </c>
    </row>
    <row r="147" spans="1:2" ht="14.45" customHeight="1" x14ac:dyDescent="0.25">
      <c r="A147" s="2" t="s">
        <v>846</v>
      </c>
      <c r="B147" s="2">
        <v>1</v>
      </c>
    </row>
    <row r="148" spans="1:2" ht="14.45" customHeight="1" x14ac:dyDescent="0.25">
      <c r="A148" s="2" t="s">
        <v>847</v>
      </c>
      <c r="B148" s="2">
        <v>1</v>
      </c>
    </row>
    <row r="149" spans="1:2" ht="14.45" customHeight="1" x14ac:dyDescent="0.25">
      <c r="A149" s="2" t="s">
        <v>848</v>
      </c>
      <c r="B149" s="2">
        <v>1.1000000000000001</v>
      </c>
    </row>
    <row r="150" spans="1:2" ht="14.45" customHeight="1" x14ac:dyDescent="0.25">
      <c r="A150" s="2" t="s">
        <v>849</v>
      </c>
      <c r="B150" s="2">
        <v>0.9</v>
      </c>
    </row>
    <row r="151" spans="1:2" ht="14.45" customHeight="1" x14ac:dyDescent="0.25">
      <c r="A151" s="2" t="s">
        <v>850</v>
      </c>
      <c r="B151" s="2">
        <v>0.9</v>
      </c>
    </row>
    <row r="152" spans="1:2" ht="14.45" customHeight="1" x14ac:dyDescent="0.25">
      <c r="A152" s="2" t="s">
        <v>851</v>
      </c>
      <c r="B152" s="2">
        <v>0.9</v>
      </c>
    </row>
    <row r="153" spans="1:2" ht="14.45" customHeight="1" x14ac:dyDescent="0.25">
      <c r="A153" s="2" t="s">
        <v>852</v>
      </c>
      <c r="B153" s="2">
        <v>1</v>
      </c>
    </row>
    <row r="154" spans="1:2" ht="14.45" customHeight="1" x14ac:dyDescent="0.25">
      <c r="A154" s="2" t="s">
        <v>853</v>
      </c>
      <c r="B154" s="2">
        <v>1.1000000000000001</v>
      </c>
    </row>
    <row r="155" spans="1:2" ht="14.45" customHeight="1" x14ac:dyDescent="0.25">
      <c r="A155" s="2" t="s">
        <v>854</v>
      </c>
      <c r="B155" s="2">
        <v>1.1000000000000001</v>
      </c>
    </row>
    <row r="156" spans="1:2" ht="14.45" customHeight="1" x14ac:dyDescent="0.25">
      <c r="A156" s="2" t="s">
        <v>855</v>
      </c>
      <c r="B156" s="2">
        <v>1.2</v>
      </c>
    </row>
    <row r="157" spans="1:2" ht="14.45" customHeight="1" x14ac:dyDescent="0.25">
      <c r="A157" s="2" t="s">
        <v>856</v>
      </c>
      <c r="B157" s="2">
        <v>1.3</v>
      </c>
    </row>
    <row r="158" spans="1:2" ht="14.45" customHeight="1" x14ac:dyDescent="0.25">
      <c r="A158" s="2" t="s">
        <v>857</v>
      </c>
      <c r="B158" s="2">
        <v>1</v>
      </c>
    </row>
    <row r="159" spans="1:2" ht="14.45" customHeight="1" x14ac:dyDescent="0.25">
      <c r="A159" s="2" t="s">
        <v>858</v>
      </c>
      <c r="B159" s="2">
        <v>1</v>
      </c>
    </row>
    <row r="160" spans="1:2" ht="14.45" customHeight="1" x14ac:dyDescent="0.25">
      <c r="A160" s="2" t="s">
        <v>859</v>
      </c>
      <c r="B160" s="2">
        <v>1.6</v>
      </c>
    </row>
    <row r="161" spans="1:2" ht="14.45" customHeight="1" x14ac:dyDescent="0.25">
      <c r="A161" s="2" t="s">
        <v>860</v>
      </c>
      <c r="B161" s="2">
        <v>0.9</v>
      </c>
    </row>
    <row r="162" spans="1:2" ht="14.45" customHeight="1" x14ac:dyDescent="0.25">
      <c r="A162" s="2" t="s">
        <v>861</v>
      </c>
      <c r="B162" s="2">
        <v>1</v>
      </c>
    </row>
    <row r="163" spans="1:2" ht="14.45" customHeight="1" x14ac:dyDescent="0.25">
      <c r="A163" s="2" t="s">
        <v>862</v>
      </c>
      <c r="B163" s="2">
        <v>1</v>
      </c>
    </row>
    <row r="164" spans="1:2" ht="14.45" customHeight="1" x14ac:dyDescent="0.25">
      <c r="A164" s="2" t="s">
        <v>863</v>
      </c>
      <c r="B164" s="2">
        <v>1</v>
      </c>
    </row>
    <row r="165" spans="1:2" ht="14.45" customHeight="1" x14ac:dyDescent="0.25">
      <c r="A165" s="2" t="s">
        <v>864</v>
      </c>
      <c r="B165" s="2">
        <v>1.1000000000000001</v>
      </c>
    </row>
    <row r="166" spans="1:2" ht="14.45" customHeight="1" x14ac:dyDescent="0.25">
      <c r="A166" s="2" t="s">
        <v>865</v>
      </c>
      <c r="B166" s="2">
        <v>1.1000000000000001</v>
      </c>
    </row>
    <row r="167" spans="1:2" ht="14.45" customHeight="1" x14ac:dyDescent="0.25">
      <c r="A167" s="2" t="s">
        <v>866</v>
      </c>
      <c r="B167" s="2">
        <v>0.9</v>
      </c>
    </row>
    <row r="168" spans="1:2" ht="14.45" customHeight="1" x14ac:dyDescent="0.25">
      <c r="A168" s="2" t="s">
        <v>867</v>
      </c>
      <c r="B168" s="2">
        <v>1.2</v>
      </c>
    </row>
    <row r="169" spans="1:2" ht="14.45" customHeight="1" x14ac:dyDescent="0.25">
      <c r="A169" s="2" t="s">
        <v>868</v>
      </c>
      <c r="B169" s="2">
        <v>0.9</v>
      </c>
    </row>
    <row r="170" spans="1:2" ht="14.45" customHeight="1" x14ac:dyDescent="0.25">
      <c r="A170" s="2" t="s">
        <v>869</v>
      </c>
      <c r="B170" s="2">
        <v>1</v>
      </c>
    </row>
    <row r="171" spans="1:2" ht="14.45" customHeight="1" x14ac:dyDescent="0.25">
      <c r="A171" s="2" t="s">
        <v>870</v>
      </c>
      <c r="B171" s="2">
        <v>0.9</v>
      </c>
    </row>
    <row r="172" spans="1:2" ht="14.45" customHeight="1" x14ac:dyDescent="0.25">
      <c r="A172" s="2" t="s">
        <v>871</v>
      </c>
      <c r="B172" s="2">
        <v>1.3</v>
      </c>
    </row>
    <row r="173" spans="1:2" ht="14.45" customHeight="1" x14ac:dyDescent="0.25">
      <c r="A173" s="2" t="s">
        <v>872</v>
      </c>
      <c r="B173" s="2">
        <v>1</v>
      </c>
    </row>
    <row r="174" spans="1:2" ht="14.45" customHeight="1" x14ac:dyDescent="0.25">
      <c r="A174" s="2" t="s">
        <v>873</v>
      </c>
      <c r="B174" s="2">
        <v>1.7</v>
      </c>
    </row>
    <row r="175" spans="1:2" ht="14.45" customHeight="1" x14ac:dyDescent="0.25">
      <c r="A175" s="2" t="s">
        <v>874</v>
      </c>
      <c r="B175" s="2">
        <v>0.9</v>
      </c>
    </row>
    <row r="176" spans="1:2" ht="14.45" customHeight="1" x14ac:dyDescent="0.25">
      <c r="A176" s="2" t="s">
        <v>875</v>
      </c>
      <c r="B176" s="2">
        <v>0.9</v>
      </c>
    </row>
    <row r="177" spans="1:2" ht="14.45" customHeight="1" x14ac:dyDescent="0.25">
      <c r="A177" s="2" t="s">
        <v>876</v>
      </c>
      <c r="B177" s="2">
        <v>1.4</v>
      </c>
    </row>
    <row r="178" spans="1:2" ht="14.45" customHeight="1" x14ac:dyDescent="0.25">
      <c r="A178" s="2" t="s">
        <v>877</v>
      </c>
      <c r="B178" s="2">
        <v>1.4</v>
      </c>
    </row>
    <row r="179" spans="1:2" ht="14.45" customHeight="1" x14ac:dyDescent="0.25">
      <c r="A179" s="2" t="s">
        <v>878</v>
      </c>
      <c r="B179" s="2">
        <v>1.4</v>
      </c>
    </row>
    <row r="180" spans="1:2" ht="14.45" customHeight="1" x14ac:dyDescent="0.25">
      <c r="A180" s="2" t="s">
        <v>879</v>
      </c>
      <c r="B180" s="2">
        <v>0.9</v>
      </c>
    </row>
    <row r="181" spans="1:2" ht="14.45" customHeight="1" x14ac:dyDescent="0.25">
      <c r="A181" s="2" t="s">
        <v>880</v>
      </c>
      <c r="B181" s="2">
        <v>1.2</v>
      </c>
    </row>
    <row r="182" spans="1:2" ht="14.45" customHeight="1" x14ac:dyDescent="0.25">
      <c r="A182" s="2" t="s">
        <v>881</v>
      </c>
      <c r="B182" s="2">
        <v>1.1000000000000001</v>
      </c>
    </row>
    <row r="183" spans="1:2" ht="14.45" customHeight="1" x14ac:dyDescent="0.25">
      <c r="A183" s="2" t="s">
        <v>882</v>
      </c>
      <c r="B183" s="2">
        <v>1</v>
      </c>
    </row>
    <row r="184" spans="1:2" ht="14.45" customHeight="1" x14ac:dyDescent="0.25">
      <c r="A184" s="2" t="s">
        <v>883</v>
      </c>
      <c r="B184" s="2">
        <v>1.1000000000000001</v>
      </c>
    </row>
    <row r="185" spans="1:2" ht="14.45" customHeight="1" x14ac:dyDescent="0.25">
      <c r="A185" s="2" t="s">
        <v>884</v>
      </c>
      <c r="B185" s="2">
        <v>1</v>
      </c>
    </row>
    <row r="186" spans="1:2" ht="14.45" customHeight="1" x14ac:dyDescent="0.25">
      <c r="A186" s="2" t="s">
        <v>885</v>
      </c>
      <c r="B186" s="2">
        <v>0.9</v>
      </c>
    </row>
    <row r="187" spans="1:2" ht="14.45" customHeight="1" x14ac:dyDescent="0.25">
      <c r="A187" s="2" t="s">
        <v>886</v>
      </c>
      <c r="B187" s="2">
        <v>0.9</v>
      </c>
    </row>
    <row r="188" spans="1:2" ht="14.45" customHeight="1" x14ac:dyDescent="0.25">
      <c r="A188" s="2" t="s">
        <v>887</v>
      </c>
      <c r="B188" s="2">
        <v>1</v>
      </c>
    </row>
    <row r="189" spans="1:2" ht="14.45" customHeight="1" x14ac:dyDescent="0.25">
      <c r="A189" s="2" t="s">
        <v>888</v>
      </c>
      <c r="B189" s="2">
        <v>1.4</v>
      </c>
    </row>
    <row r="190" spans="1:2" ht="14.45" customHeight="1" x14ac:dyDescent="0.25">
      <c r="A190" s="2" t="s">
        <v>889</v>
      </c>
      <c r="B190" s="2">
        <v>1.1000000000000001</v>
      </c>
    </row>
    <row r="191" spans="1:2" ht="14.45" customHeight="1" x14ac:dyDescent="0.25">
      <c r="A191" s="2" t="s">
        <v>890</v>
      </c>
      <c r="B191" s="2">
        <v>0.9</v>
      </c>
    </row>
    <row r="192" spans="1:2" ht="14.45" customHeight="1" x14ac:dyDescent="0.25">
      <c r="A192" s="2" t="s">
        <v>891</v>
      </c>
      <c r="B192" s="2">
        <v>1</v>
      </c>
    </row>
    <row r="193" spans="1:2" ht="14.45" customHeight="1" x14ac:dyDescent="0.25">
      <c r="A193" s="2" t="s">
        <v>892</v>
      </c>
      <c r="B193" s="2">
        <v>1.2</v>
      </c>
    </row>
    <row r="194" spans="1:2" ht="14.45" customHeight="1" x14ac:dyDescent="0.25">
      <c r="A194" s="2" t="s">
        <v>893</v>
      </c>
      <c r="B194" s="2">
        <v>1.4</v>
      </c>
    </row>
    <row r="195" spans="1:2" ht="14.45" customHeight="1" x14ac:dyDescent="0.25">
      <c r="A195" s="2" t="s">
        <v>894</v>
      </c>
      <c r="B195" s="2">
        <v>1</v>
      </c>
    </row>
    <row r="196" spans="1:2" ht="14.45" customHeight="1" x14ac:dyDescent="0.25">
      <c r="A196" s="2" t="s">
        <v>895</v>
      </c>
      <c r="B196" s="2">
        <v>1</v>
      </c>
    </row>
    <row r="197" spans="1:2" ht="14.45" customHeight="1" x14ac:dyDescent="0.25">
      <c r="A197" s="2" t="s">
        <v>896</v>
      </c>
      <c r="B197" s="2">
        <v>1.7</v>
      </c>
    </row>
    <row r="198" spans="1:2" ht="14.45" customHeight="1" x14ac:dyDescent="0.25">
      <c r="A198" s="2" t="s">
        <v>897</v>
      </c>
      <c r="B198" s="2">
        <v>0.9</v>
      </c>
    </row>
    <row r="199" spans="1:2" ht="14.45" customHeight="1" x14ac:dyDescent="0.25">
      <c r="A199" s="2" t="s">
        <v>898</v>
      </c>
      <c r="B199" s="2">
        <v>0.9</v>
      </c>
    </row>
    <row r="200" spans="1:2" ht="14.45" customHeight="1" x14ac:dyDescent="0.25">
      <c r="A200" s="2" t="s">
        <v>899</v>
      </c>
      <c r="B200" s="2">
        <v>0.9</v>
      </c>
    </row>
    <row r="201" spans="1:2" ht="14.45" customHeight="1" x14ac:dyDescent="0.25">
      <c r="A201" s="2" t="s">
        <v>900</v>
      </c>
      <c r="B201" s="2">
        <v>1</v>
      </c>
    </row>
    <row r="202" spans="1:2" ht="14.45" customHeight="1" x14ac:dyDescent="0.25">
      <c r="A202" s="2" t="s">
        <v>901</v>
      </c>
      <c r="B202" s="2">
        <v>1.1000000000000001</v>
      </c>
    </row>
    <row r="203" spans="1:2" ht="14.45" customHeight="1" x14ac:dyDescent="0.25">
      <c r="A203" s="2" t="s">
        <v>902</v>
      </c>
      <c r="B203" s="2">
        <v>1.8</v>
      </c>
    </row>
    <row r="204" spans="1:2" ht="14.45" customHeight="1" x14ac:dyDescent="0.25">
      <c r="A204" s="2" t="s">
        <v>903</v>
      </c>
      <c r="B204" s="2">
        <v>1</v>
      </c>
    </row>
    <row r="205" spans="1:2" ht="14.45" customHeight="1" x14ac:dyDescent="0.25">
      <c r="A205" s="2" t="s">
        <v>904</v>
      </c>
      <c r="B205" s="2">
        <v>0.9</v>
      </c>
    </row>
    <row r="206" spans="1:2" ht="14.45" customHeight="1" x14ac:dyDescent="0.25">
      <c r="A206" s="2" t="s">
        <v>905</v>
      </c>
      <c r="B206" s="2">
        <v>1.5</v>
      </c>
    </row>
    <row r="207" spans="1:2" ht="14.45" customHeight="1" x14ac:dyDescent="0.25">
      <c r="A207" s="2" t="s">
        <v>906</v>
      </c>
      <c r="B207" s="2">
        <v>1</v>
      </c>
    </row>
    <row r="208" spans="1:2" ht="14.45" customHeight="1" x14ac:dyDescent="0.25">
      <c r="A208" s="2" t="s">
        <v>907</v>
      </c>
      <c r="B208" s="2">
        <v>1.3</v>
      </c>
    </row>
    <row r="209" spans="1:2" ht="14.45" customHeight="1" x14ac:dyDescent="0.25">
      <c r="A209" s="2" t="s">
        <v>908</v>
      </c>
      <c r="B209" s="2">
        <v>1.1000000000000001</v>
      </c>
    </row>
    <row r="210" spans="1:2" ht="14.45" customHeight="1" x14ac:dyDescent="0.25">
      <c r="A210" s="2" t="s">
        <v>909</v>
      </c>
      <c r="B210" s="2">
        <v>1</v>
      </c>
    </row>
    <row r="211" spans="1:2" ht="14.45" customHeight="1" x14ac:dyDescent="0.25">
      <c r="A211" s="2" t="s">
        <v>910</v>
      </c>
      <c r="B211" s="2">
        <v>0.9</v>
      </c>
    </row>
    <row r="212" spans="1:2" ht="14.45" customHeight="1" x14ac:dyDescent="0.25">
      <c r="A212" s="2" t="s">
        <v>911</v>
      </c>
      <c r="B212" s="2">
        <v>0.9</v>
      </c>
    </row>
    <row r="213" spans="1:2" ht="14.45" customHeight="1" x14ac:dyDescent="0.25">
      <c r="A213" s="2" t="s">
        <v>912</v>
      </c>
      <c r="B213" s="2">
        <v>1</v>
      </c>
    </row>
    <row r="214" spans="1:2" ht="14.45" customHeight="1" x14ac:dyDescent="0.25">
      <c r="A214" s="2" t="s">
        <v>913</v>
      </c>
      <c r="B214" s="2">
        <v>1</v>
      </c>
    </row>
    <row r="215" spans="1:2" ht="14.45" customHeight="1" x14ac:dyDescent="0.25">
      <c r="A215" s="2" t="s">
        <v>914</v>
      </c>
      <c r="B215" s="2">
        <v>1.1000000000000001</v>
      </c>
    </row>
    <row r="216" spans="1:2" ht="14.45" customHeight="1" x14ac:dyDescent="0.25">
      <c r="A216" s="2" t="s">
        <v>915</v>
      </c>
      <c r="B216" s="2">
        <v>1.1000000000000001</v>
      </c>
    </row>
    <row r="217" spans="1:2" ht="14.45" customHeight="1" x14ac:dyDescent="0.25">
      <c r="A217" s="2" t="s">
        <v>916</v>
      </c>
      <c r="B217" s="2">
        <v>1.2</v>
      </c>
    </row>
    <row r="218" spans="1:2" ht="14.45" customHeight="1" x14ac:dyDescent="0.25">
      <c r="A218" s="2" t="s">
        <v>917</v>
      </c>
      <c r="B218" s="2">
        <v>1</v>
      </c>
    </row>
    <row r="219" spans="1:2" ht="14.45" customHeight="1" x14ac:dyDescent="0.25">
      <c r="A219" s="2" t="s">
        <v>918</v>
      </c>
      <c r="B219" s="2">
        <v>1</v>
      </c>
    </row>
    <row r="220" spans="1:2" ht="14.45" customHeight="1" x14ac:dyDescent="0.25">
      <c r="A220" s="2" t="s">
        <v>919</v>
      </c>
      <c r="B220" s="2">
        <v>0.9</v>
      </c>
    </row>
    <row r="221" spans="1:2" ht="14.45" customHeight="1" x14ac:dyDescent="0.25">
      <c r="A221" s="2" t="s">
        <v>920</v>
      </c>
      <c r="B221" s="2">
        <v>0.9</v>
      </c>
    </row>
    <row r="222" spans="1:2" ht="14.45" customHeight="1" x14ac:dyDescent="0.25">
      <c r="A222" s="2" t="s">
        <v>921</v>
      </c>
      <c r="B222" s="2">
        <v>1</v>
      </c>
    </row>
    <row r="223" spans="1:2" ht="14.45" customHeight="1" x14ac:dyDescent="0.25">
      <c r="A223" s="2" t="s">
        <v>922</v>
      </c>
      <c r="B223" s="2">
        <v>1</v>
      </c>
    </row>
    <row r="224" spans="1:2" ht="14.45" customHeight="1" x14ac:dyDescent="0.25">
      <c r="A224" s="2" t="s">
        <v>923</v>
      </c>
      <c r="B224" s="2">
        <v>1.1000000000000001</v>
      </c>
    </row>
    <row r="225" spans="1:2" ht="14.45" customHeight="1" x14ac:dyDescent="0.25">
      <c r="A225" s="2" t="s">
        <v>924</v>
      </c>
      <c r="B225" s="2">
        <v>1.3</v>
      </c>
    </row>
    <row r="226" spans="1:2" ht="14.45" customHeight="1" x14ac:dyDescent="0.25">
      <c r="A226" s="2" t="s">
        <v>925</v>
      </c>
      <c r="B226" s="2">
        <v>1</v>
      </c>
    </row>
    <row r="227" spans="1:2" ht="14.45" customHeight="1" x14ac:dyDescent="0.25">
      <c r="A227" s="2" t="s">
        <v>926</v>
      </c>
      <c r="B227" s="2">
        <v>0.9</v>
      </c>
    </row>
    <row r="228" spans="1:2" ht="14.45" customHeight="1" x14ac:dyDescent="0.25">
      <c r="A228" s="2" t="s">
        <v>927</v>
      </c>
      <c r="B228" s="2">
        <v>0.9</v>
      </c>
    </row>
    <row r="229" spans="1:2" ht="14.45" customHeight="1" x14ac:dyDescent="0.25">
      <c r="A229" s="2" t="s">
        <v>928</v>
      </c>
      <c r="B229" s="2">
        <v>1.2</v>
      </c>
    </row>
    <row r="230" spans="1:2" ht="14.45" customHeight="1" x14ac:dyDescent="0.25">
      <c r="A230" s="2" t="s">
        <v>929</v>
      </c>
      <c r="B230" s="2">
        <v>0.9</v>
      </c>
    </row>
    <row r="231" spans="1:2" ht="14.45" customHeight="1" x14ac:dyDescent="0.25">
      <c r="A231" s="2" t="s">
        <v>930</v>
      </c>
      <c r="B231" s="2">
        <v>1.1000000000000001</v>
      </c>
    </row>
    <row r="232" spans="1:2" ht="14.45" customHeight="1" x14ac:dyDescent="0.25">
      <c r="A232" s="2" t="s">
        <v>931</v>
      </c>
      <c r="B232" s="2">
        <v>1</v>
      </c>
    </row>
    <row r="233" spans="1:2" ht="14.45" customHeight="1" x14ac:dyDescent="0.25">
      <c r="A233" s="2" t="s">
        <v>932</v>
      </c>
      <c r="B233" s="2">
        <v>0.9</v>
      </c>
    </row>
    <row r="234" spans="1:2" ht="14.45" customHeight="1" x14ac:dyDescent="0.25">
      <c r="A234" s="2" t="s">
        <v>933</v>
      </c>
      <c r="B234" s="2">
        <v>1</v>
      </c>
    </row>
    <row r="235" spans="1:2" ht="14.45" customHeight="1" x14ac:dyDescent="0.25">
      <c r="A235" s="2" t="s">
        <v>934</v>
      </c>
      <c r="B235" s="2">
        <v>1</v>
      </c>
    </row>
    <row r="236" spans="1:2" ht="14.45" customHeight="1" x14ac:dyDescent="0.25">
      <c r="A236" s="2" t="s">
        <v>935</v>
      </c>
      <c r="B236" s="2">
        <v>1</v>
      </c>
    </row>
    <row r="237" spans="1:2" ht="14.45" customHeight="1" x14ac:dyDescent="0.25">
      <c r="A237" s="2" t="s">
        <v>936</v>
      </c>
      <c r="B237" s="2">
        <v>1</v>
      </c>
    </row>
    <row r="238" spans="1:2" ht="14.45" customHeight="1" x14ac:dyDescent="0.25">
      <c r="A238" s="2" t="s">
        <v>937</v>
      </c>
      <c r="B238" s="2">
        <v>1</v>
      </c>
    </row>
    <row r="239" spans="1:2" ht="14.45" customHeight="1" x14ac:dyDescent="0.25">
      <c r="A239" s="2" t="s">
        <v>938</v>
      </c>
      <c r="B239" s="2">
        <v>0.9</v>
      </c>
    </row>
    <row r="240" spans="1:2" ht="14.45" customHeight="1" x14ac:dyDescent="0.25">
      <c r="A240" s="2" t="s">
        <v>939</v>
      </c>
      <c r="B240" s="2">
        <v>1.1000000000000001</v>
      </c>
    </row>
    <row r="241" spans="1:2" ht="14.45" customHeight="1" x14ac:dyDescent="0.25">
      <c r="A241" s="2" t="s">
        <v>940</v>
      </c>
      <c r="B241" s="2">
        <v>1.3</v>
      </c>
    </row>
    <row r="242" spans="1:2" ht="14.45" customHeight="1" x14ac:dyDescent="0.25">
      <c r="A242" s="2" t="s">
        <v>941</v>
      </c>
      <c r="B242" s="2">
        <v>1</v>
      </c>
    </row>
    <row r="243" spans="1:2" ht="14.45" customHeight="1" x14ac:dyDescent="0.25">
      <c r="A243" t="s">
        <v>942</v>
      </c>
      <c r="B243" s="2">
        <v>1</v>
      </c>
    </row>
    <row r="244" spans="1:2" ht="14.45" customHeight="1" x14ac:dyDescent="0.25">
      <c r="A244" s="2" t="s">
        <v>943</v>
      </c>
      <c r="B244" s="2">
        <v>1</v>
      </c>
    </row>
    <row r="245" spans="1:2" ht="14.45" customHeight="1" x14ac:dyDescent="0.25">
      <c r="A245" s="2" t="s">
        <v>944</v>
      </c>
      <c r="B245" s="2">
        <v>1</v>
      </c>
    </row>
    <row r="246" spans="1:2" ht="14.45" customHeight="1" x14ac:dyDescent="0.25">
      <c r="A246" s="2" t="s">
        <v>945</v>
      </c>
      <c r="B246" s="2">
        <v>1</v>
      </c>
    </row>
    <row r="247" spans="1:2" ht="14.45" customHeight="1" x14ac:dyDescent="0.25">
      <c r="A247" s="2" t="s">
        <v>946</v>
      </c>
      <c r="B247" s="2">
        <v>1</v>
      </c>
    </row>
    <row r="248" spans="1:2" ht="14.45" customHeight="1" x14ac:dyDescent="0.25">
      <c r="A248" s="2" t="s">
        <v>947</v>
      </c>
      <c r="B248" s="2">
        <v>1</v>
      </c>
    </row>
    <row r="249" spans="1:2" ht="14.45" customHeight="1" x14ac:dyDescent="0.25">
      <c r="A249" s="2" t="s">
        <v>948</v>
      </c>
      <c r="B249" s="2">
        <v>1</v>
      </c>
    </row>
    <row r="250" spans="1:2" ht="14.45" customHeight="1" x14ac:dyDescent="0.25">
      <c r="A250" s="2" t="s">
        <v>949</v>
      </c>
      <c r="B250" s="2">
        <v>1.2</v>
      </c>
    </row>
    <row r="251" spans="1:2" ht="14.45" customHeight="1" x14ac:dyDescent="0.25">
      <c r="A251" s="2" t="s">
        <v>950</v>
      </c>
      <c r="B251" s="2">
        <v>1</v>
      </c>
    </row>
    <row r="252" spans="1:2" ht="14.45" customHeight="1" x14ac:dyDescent="0.25">
      <c r="A252" s="2" t="s">
        <v>951</v>
      </c>
      <c r="B252" s="2">
        <v>0.9</v>
      </c>
    </row>
    <row r="253" spans="1:2" ht="14.45" customHeight="1" x14ac:dyDescent="0.25">
      <c r="A253" s="2" t="s">
        <v>952</v>
      </c>
      <c r="B253" s="2">
        <v>1</v>
      </c>
    </row>
    <row r="254" spans="1:2" ht="14.45" customHeight="1" x14ac:dyDescent="0.25">
      <c r="A254" s="2" t="s">
        <v>953</v>
      </c>
      <c r="B254" s="2">
        <v>0.8</v>
      </c>
    </row>
    <row r="255" spans="1:2" ht="14.45" customHeight="1" x14ac:dyDescent="0.25">
      <c r="A255" s="2" t="s">
        <v>954</v>
      </c>
      <c r="B255" s="2">
        <v>1</v>
      </c>
    </row>
    <row r="256" spans="1:2" ht="14.45" customHeight="1" x14ac:dyDescent="0.25">
      <c r="A256" s="2" t="s">
        <v>955</v>
      </c>
      <c r="B256" s="2">
        <v>1.6</v>
      </c>
    </row>
    <row r="257" spans="1:2" ht="14.45" customHeight="1" x14ac:dyDescent="0.25">
      <c r="A257" s="2" t="s">
        <v>956</v>
      </c>
      <c r="B257" s="2">
        <v>1</v>
      </c>
    </row>
    <row r="258" spans="1:2" ht="14.45" customHeight="1" x14ac:dyDescent="0.25">
      <c r="A258" s="2" t="s">
        <v>957</v>
      </c>
      <c r="B258" s="2">
        <v>1.5</v>
      </c>
    </row>
    <row r="259" spans="1:2" ht="14.45" customHeight="1" x14ac:dyDescent="0.25">
      <c r="A259" s="2" t="s">
        <v>958</v>
      </c>
      <c r="B259" s="2">
        <v>1</v>
      </c>
    </row>
    <row r="260" spans="1:2" ht="14.45" customHeight="1" x14ac:dyDescent="0.25">
      <c r="A260" s="2" t="s">
        <v>959</v>
      </c>
      <c r="B260" s="2">
        <v>1</v>
      </c>
    </row>
    <row r="261" spans="1:2" ht="14.45" customHeight="1" x14ac:dyDescent="0.25">
      <c r="A261" s="2" t="s">
        <v>960</v>
      </c>
      <c r="B261" s="2">
        <v>1</v>
      </c>
    </row>
    <row r="262" spans="1:2" ht="14.45" customHeight="1" x14ac:dyDescent="0.25">
      <c r="A262" s="2" t="s">
        <v>961</v>
      </c>
      <c r="B262" s="2">
        <v>1.4</v>
      </c>
    </row>
    <row r="263" spans="1:2" ht="14.45" customHeight="1" x14ac:dyDescent="0.25">
      <c r="A263" s="2" t="s">
        <v>962</v>
      </c>
      <c r="B263" s="2">
        <v>1</v>
      </c>
    </row>
    <row r="264" spans="1:2" ht="14.45" customHeight="1" x14ac:dyDescent="0.25">
      <c r="A264" s="2" t="s">
        <v>963</v>
      </c>
      <c r="B264" s="2">
        <v>1</v>
      </c>
    </row>
    <row r="265" spans="1:2" ht="14.45" customHeight="1" x14ac:dyDescent="0.25">
      <c r="A265" s="2" t="s">
        <v>964</v>
      </c>
      <c r="B265" s="2">
        <v>0.9</v>
      </c>
    </row>
    <row r="266" spans="1:2" ht="14.45" customHeight="1" x14ac:dyDescent="0.25">
      <c r="A266" s="2" t="s">
        <v>965</v>
      </c>
      <c r="B266" s="2">
        <v>1</v>
      </c>
    </row>
    <row r="267" spans="1:2" ht="14.45" customHeight="1" x14ac:dyDescent="0.25">
      <c r="A267" s="2" t="s">
        <v>966</v>
      </c>
      <c r="B267" s="2">
        <v>1</v>
      </c>
    </row>
    <row r="268" spans="1:2" ht="14.45" customHeight="1" x14ac:dyDescent="0.25">
      <c r="A268" s="2" t="s">
        <v>967</v>
      </c>
      <c r="B268" s="2">
        <v>1</v>
      </c>
    </row>
    <row r="269" spans="1:2" ht="14.45" customHeight="1" x14ac:dyDescent="0.25">
      <c r="A269" s="2" t="s">
        <v>968</v>
      </c>
      <c r="B269" s="2">
        <v>0.9</v>
      </c>
    </row>
    <row r="270" spans="1:2" ht="14.45" customHeight="1" x14ac:dyDescent="0.25">
      <c r="A270" s="2" t="s">
        <v>969</v>
      </c>
      <c r="B270" s="2">
        <v>1</v>
      </c>
    </row>
    <row r="271" spans="1:2" ht="14.45" customHeight="1" x14ac:dyDescent="0.25">
      <c r="A271" s="2" t="s">
        <v>970</v>
      </c>
      <c r="B271" s="2">
        <v>1.4</v>
      </c>
    </row>
    <row r="272" spans="1:2" ht="14.45" customHeight="1" x14ac:dyDescent="0.25">
      <c r="A272" s="2" t="s">
        <v>971</v>
      </c>
      <c r="B272" s="2">
        <v>1.6</v>
      </c>
    </row>
    <row r="273" spans="1:2" ht="14.45" customHeight="1" x14ac:dyDescent="0.25">
      <c r="A273" s="2" t="s">
        <v>972</v>
      </c>
      <c r="B273" s="2">
        <v>1.1000000000000001</v>
      </c>
    </row>
    <row r="274" spans="1:2" ht="14.45" customHeight="1" x14ac:dyDescent="0.25">
      <c r="A274" s="2" t="s">
        <v>973</v>
      </c>
      <c r="B274" s="2">
        <v>1.5</v>
      </c>
    </row>
    <row r="275" spans="1:2" ht="14.45" customHeight="1" x14ac:dyDescent="0.25">
      <c r="A275" s="2" t="s">
        <v>974</v>
      </c>
      <c r="B275" s="2">
        <v>0.9</v>
      </c>
    </row>
    <row r="276" spans="1:2" ht="14.45" customHeight="1" x14ac:dyDescent="0.25">
      <c r="A276" s="2" t="s">
        <v>975</v>
      </c>
      <c r="B276" s="2">
        <v>1</v>
      </c>
    </row>
    <row r="277" spans="1:2" ht="14.45" customHeight="1" x14ac:dyDescent="0.25">
      <c r="A277" s="2" t="s">
        <v>976</v>
      </c>
      <c r="B277" s="2">
        <v>1</v>
      </c>
    </row>
    <row r="278" spans="1:2" ht="14.45" customHeight="1" x14ac:dyDescent="0.25">
      <c r="A278" s="2" t="s">
        <v>977</v>
      </c>
      <c r="B278" s="2">
        <v>1.4</v>
      </c>
    </row>
    <row r="279" spans="1:2" ht="14.45" customHeight="1" x14ac:dyDescent="0.25">
      <c r="A279" s="2" t="s">
        <v>978</v>
      </c>
      <c r="B279" s="2">
        <v>1.1000000000000001</v>
      </c>
    </row>
    <row r="280" spans="1:2" ht="14.45" customHeight="1" x14ac:dyDescent="0.25">
      <c r="A280" s="2" t="s">
        <v>979</v>
      </c>
      <c r="B280" s="2">
        <v>1.5</v>
      </c>
    </row>
    <row r="281" spans="1:2" ht="14.45" customHeight="1" x14ac:dyDescent="0.25">
      <c r="A281" s="2" t="s">
        <v>980</v>
      </c>
      <c r="B281" s="2">
        <v>0.9</v>
      </c>
    </row>
    <row r="282" spans="1:2" ht="14.45" customHeight="1" x14ac:dyDescent="0.25">
      <c r="A282" s="2" t="s">
        <v>981</v>
      </c>
      <c r="B282" s="2">
        <v>0.9</v>
      </c>
    </row>
    <row r="283" spans="1:2" ht="14.45" customHeight="1" x14ac:dyDescent="0.25">
      <c r="A283" s="2" t="s">
        <v>982</v>
      </c>
      <c r="B283" s="2">
        <v>1</v>
      </c>
    </row>
    <row r="284" spans="1:2" ht="14.45" customHeight="1" x14ac:dyDescent="0.25">
      <c r="A284" s="2" t="s">
        <v>983</v>
      </c>
      <c r="B284" s="2">
        <v>1</v>
      </c>
    </row>
    <row r="285" spans="1:2" ht="14.45" customHeight="1" x14ac:dyDescent="0.25">
      <c r="A285" s="2" t="s">
        <v>984</v>
      </c>
      <c r="B285" s="2">
        <v>1</v>
      </c>
    </row>
    <row r="286" spans="1:2" ht="14.45" customHeight="1" x14ac:dyDescent="0.25">
      <c r="A286" s="2" t="s">
        <v>985</v>
      </c>
      <c r="B286" s="2">
        <v>1.3</v>
      </c>
    </row>
    <row r="287" spans="1:2" ht="14.45" customHeight="1" x14ac:dyDescent="0.25">
      <c r="A287" s="2" t="s">
        <v>986</v>
      </c>
      <c r="B287" s="2">
        <v>1.4</v>
      </c>
    </row>
    <row r="288" spans="1:2" ht="14.45" customHeight="1" x14ac:dyDescent="0.25">
      <c r="A288" s="2" t="s">
        <v>987</v>
      </c>
      <c r="B288" s="2">
        <v>1</v>
      </c>
    </row>
    <row r="289" spans="1:2" ht="14.45" customHeight="1" x14ac:dyDescent="0.25">
      <c r="A289" s="2" t="s">
        <v>988</v>
      </c>
      <c r="B289" s="2">
        <v>1.1000000000000001</v>
      </c>
    </row>
    <row r="290" spans="1:2" ht="14.45" customHeight="1" x14ac:dyDescent="0.25">
      <c r="A290" s="2" t="s">
        <v>989</v>
      </c>
      <c r="B290" s="2">
        <v>0.9</v>
      </c>
    </row>
    <row r="291" spans="1:2" ht="14.45" customHeight="1" x14ac:dyDescent="0.25">
      <c r="A291" s="2" t="s">
        <v>990</v>
      </c>
      <c r="B291" s="2">
        <v>1.6</v>
      </c>
    </row>
    <row r="292" spans="1:2" ht="14.45" customHeight="1" x14ac:dyDescent="0.25">
      <c r="A292" s="2" t="s">
        <v>991</v>
      </c>
      <c r="B292" s="2">
        <v>1.6</v>
      </c>
    </row>
  </sheetData>
  <sheetProtection algorithmName="SHA-512" hashValue="xeNQlCMS0vrDFjDJGl8Bp47zS+eKwjPKAAAwOMBsjNs4SwpNpbfcmwfKzpXJg/yuN+y1aEAm7RzwR1ky1D1PuA==" saltValue="XsZdgtSYQl6tfyc36NZ2vQ=="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amverkansdokument" ma:contentTypeID="0x010100B16161C1156749828247A73D7190880000E1BF22F44F074BC5BE282C55B010BFF100E14FADE2A4B1974798D1EC68845A1137" ma:contentTypeVersion="10" ma:contentTypeDescription="" ma:contentTypeScope="" ma:versionID="6aa43f50c9a65b2d5191047e65770891">
  <xsd:schema xmlns:xsd="http://www.w3.org/2001/XMLSchema" xmlns:xs="http://www.w3.org/2001/XMLSchema" xmlns:p="http://schemas.microsoft.com/office/2006/metadata/properties" xmlns:ns2="dcde71ca-9dfb-4c82-8800-e96cfebae0f3" xmlns:ns3="8ae4dbce-a0a2-4848-9c82-2636bee423bc" targetNamespace="http://schemas.microsoft.com/office/2006/metadata/properties" ma:root="true" ma:fieldsID="f0bfab9ab26e46041c714e6d3805b0a1" ns2:_="" ns3:_="">
    <xsd:import namespace="dcde71ca-9dfb-4c82-8800-e96cfebae0f3"/>
    <xsd:import namespace="8ae4dbce-a0a2-4848-9c82-2636bee423bc"/>
    <xsd:element name="properties">
      <xsd:complexType>
        <xsd:sequence>
          <xsd:element name="documentManagement">
            <xsd:complexType>
              <xsd:all>
                <xsd:element ref="ns2:kf5321c52a534cb6a765f3faf36eabeb" minOccurs="0"/>
                <xsd:element ref="ns2:TaxCatchAll" minOccurs="0"/>
                <xsd:element ref="ns2:TaxCatchAllLabel" minOccurs="0"/>
                <xsd:element ref="ns2:b89223313b284f2a879bf9c1e2dff829" minOccurs="0"/>
                <xsd:element ref="ns2:jf1988eb52d6465e8812b6a4879bb9c1" minOccurs="0"/>
                <xsd:element ref="ns2:DWSiteArchive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e71ca-9dfb-4c82-8800-e96cfebae0f3" elementFormDefault="qualified">
    <xsd:import namespace="http://schemas.microsoft.com/office/2006/documentManagement/types"/>
    <xsd:import namespace="http://schemas.microsoft.com/office/infopath/2007/PartnerControls"/>
    <xsd:element name="kf5321c52a534cb6a765f3faf36eabeb" ma:index="8" nillable="true" ma:taxonomy="true" ma:internalName="kf5321c52a534cb6a765f3faf36eabeb" ma:taxonomyFieldName="DWDivision" ma:displayName="Organisation" ma:default="1;#Sektion MLJ Energi ＆ Miljö Stockholm|1df09af4-21aa-4874-a2a7-9a019f68d629" ma:fieldId="{4f5321c5-2a53-4cb6-a765-f3faf36eabeb}" ma:sspId="55fa7661-3cff-46e8-a3ed-6492cca6b4b1" ma:termSetId="5ba9bd17-a463-450c-a946-6addf55a679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b089818-c12b-4238-ba52-43cfcb8272e8}" ma:internalName="TaxCatchAll" ma:showField="CatchAllData"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b089818-c12b-4238-ba52-43cfcb8272e8}" ma:internalName="TaxCatchAllLabel" ma:readOnly="true" ma:showField="CatchAllDataLabel"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b89223313b284f2a879bf9c1e2dff829" ma:index="12" nillable="true" ma:taxonomy="true" ma:internalName="b89223313b284f2a879bf9c1e2dff829" ma:taxonomyFieldName="DWTaxonomyDocumentType" ma:displayName="Dokumenttyp (taggar)" ma:fieldId="{b8922331-3b28-4f2a-879b-f9c1e2dff829}" ma:sspId="55fa7661-3cff-46e8-a3ed-6492cca6b4b1" ma:termSetId="87ad6343-2cbd-4661-a325-8dbbb6388c47" ma:anchorId="00000000-0000-0000-0000-000000000000" ma:open="false" ma:isKeyword="false">
      <xsd:complexType>
        <xsd:sequence>
          <xsd:element ref="pc:Terms" minOccurs="0" maxOccurs="1"/>
        </xsd:sequence>
      </xsd:complexType>
    </xsd:element>
    <xsd:element name="jf1988eb52d6465e8812b6a4879bb9c1" ma:index="14" nillable="true" ma:taxonomy="true" ma:internalName="jf1988eb52d6465e8812b6a4879bb9c1" ma:taxonomyFieldName="DWTechnicalArea" ma:displayName="Teknikområde" ma:fieldId="{3f1988eb-52d6-465e-8812-b6a4879bb9c1}" ma:sspId="55fa7661-3cff-46e8-a3ed-6492cca6b4b1" ma:termSetId="bd7f406c-ac33-4626-89da-cbddd7ebd118" ma:anchorId="00000000-0000-0000-0000-000000000000" ma:open="false" ma:isKeyword="false">
      <xsd:complexType>
        <xsd:sequence>
          <xsd:element ref="pc:Terms" minOccurs="0" maxOccurs="1"/>
        </xsd:sequence>
      </xsd:complexType>
    </xsd:element>
    <xsd:element name="DWSiteArchived" ma:index="16" nillable="true" ma:displayName="Archived" ma:default="0" ma:internalName="DWSit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e4dbce-a0a2-4848-9c82-2636bee423b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f5321c52a534cb6a765f3faf36eabeb xmlns="dcde71ca-9dfb-4c82-8800-e96cfebae0f3">
      <Terms xmlns="http://schemas.microsoft.com/office/infopath/2007/PartnerControls">
        <TermInfo xmlns="http://schemas.microsoft.com/office/infopath/2007/PartnerControls">
          <TermName xmlns="http://schemas.microsoft.com/office/infopath/2007/PartnerControls">Sektion MLJ Energi ＆ Miljö Stockholm</TermName>
          <TermId xmlns="http://schemas.microsoft.com/office/infopath/2007/PartnerControls">1df09af4-21aa-4874-a2a7-9a019f68d629</TermId>
        </TermInfo>
      </Terms>
    </kf5321c52a534cb6a765f3faf36eabeb>
    <jf1988eb52d6465e8812b6a4879bb9c1 xmlns="dcde71ca-9dfb-4c82-8800-e96cfebae0f3">
      <Terms xmlns="http://schemas.microsoft.com/office/infopath/2007/PartnerControls"/>
    </jf1988eb52d6465e8812b6a4879bb9c1>
    <TaxCatchAll xmlns="dcde71ca-9dfb-4c82-8800-e96cfebae0f3">
      <Value>1</Value>
    </TaxCatchAll>
    <DWSiteArchived xmlns="dcde71ca-9dfb-4c82-8800-e96cfebae0f3">false</DWSiteArchived>
    <b89223313b284f2a879bf9c1e2dff829 xmlns="dcde71ca-9dfb-4c82-8800-e96cfebae0f3">
      <Terms xmlns="http://schemas.microsoft.com/office/infopath/2007/PartnerControls"/>
    </b89223313b284f2a879bf9c1e2dff829>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B886E-5F5C-48D8-9362-D63D83BF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e71ca-9dfb-4c82-8800-e96cfebae0f3"/>
    <ds:schemaRef ds:uri="8ae4dbce-a0a2-4848-9c82-2636bee42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D862A8-13BF-4AE5-A7B8-E8C9C62613E5}">
  <ds:schemaRefs>
    <ds:schemaRef ds:uri="http://schemas.microsoft.com/office/2006/metadata/properties"/>
    <ds:schemaRef ds:uri="http://schemas.microsoft.com/office/infopath/2007/PartnerControls"/>
    <ds:schemaRef ds:uri="dcde71ca-9dfb-4c82-8800-e96cfebae0f3"/>
  </ds:schemaRefs>
</ds:datastoreItem>
</file>

<file path=customXml/itemProps3.xml><?xml version="1.0" encoding="utf-8"?>
<ds:datastoreItem xmlns:ds="http://schemas.openxmlformats.org/officeDocument/2006/customXml" ds:itemID="{61716843-3273-4CB3-A663-DB59D8DF02CB}">
  <ds:schemaRefs>
    <ds:schemaRef ds:uri="http://schemas.microsoft.com/DataMashup"/>
  </ds:schemaRefs>
</ds:datastoreItem>
</file>

<file path=customXml/itemProps4.xml><?xml version="1.0" encoding="utf-8"?>
<ds:datastoreItem xmlns:ds="http://schemas.openxmlformats.org/officeDocument/2006/customXml" ds:itemID="{CEB87A37-5BB9-4AD3-845A-7F7EC5656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Start &amp; resultat</vt:lpstr>
      <vt:lpstr>A. Byggnadsinfo med BBR</vt:lpstr>
      <vt:lpstr>B1. Resultat beräkning</vt:lpstr>
      <vt:lpstr>B2. Indata beräkning</vt:lpstr>
      <vt:lpstr>PETberäkning</vt:lpstr>
      <vt:lpstr>UHM</vt:lpstr>
      <vt:lpstr>VFT</vt:lpstr>
      <vt:lpstr>C1. Resultat mätning</vt:lpstr>
      <vt:lpstr>C2. Inmatning och verifiering</vt:lpstr>
      <vt:lpstr>C3. Normaliseringsunderlag</vt:lpstr>
      <vt:lpstr>C4. Underlag-mätplan</vt:lpstr>
      <vt:lpstr>Fgeo</vt:lpstr>
      <vt:lpstr>BBRversion</vt:lpstr>
      <vt:lpstr>Byggnadskategori</vt:lpstr>
      <vt:lpstr>Byggnadskomplexitet</vt:lpstr>
      <vt:lpstr>Byggnadstyp</vt:lpstr>
      <vt:lpstr>Egen_beteckning</vt:lpstr>
      <vt:lpstr>Kommun</vt:lpstr>
      <vt:lpstr>'C2. Inmatning och verifiering'!Kommunnamn</vt:lpstr>
      <vt:lpstr>Kommunnamn</vt:lpstr>
      <vt:lpstr>'C1. Resultat mätning'!Utskriftsområde</vt:lpstr>
      <vt:lpstr>'C2. Inmatning och verifiering'!Utskriftsområde</vt:lpstr>
      <vt:lpstr>'C3. Normaliseringsunderlag'!Utskriftsområde</vt:lpstr>
      <vt:lpstr>'C4. Underlag-mätplan'!Utskriftsområde</vt:lpstr>
      <vt:lpstr>UUID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 Levin</dc:creator>
  <cp:keywords/>
  <dc:description/>
  <cp:lastModifiedBy>Saif Al Sayegh</cp:lastModifiedBy>
  <cp:revision/>
  <dcterms:created xsi:type="dcterms:W3CDTF">2011-05-05T08:28:42Z</dcterms:created>
  <dcterms:modified xsi:type="dcterms:W3CDTF">2024-09-20T13:40:46Z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0x010100B16161C1156749828247A73D7190880000E1BF22F44F074BC5BE282C55B010BFF100E14FADE2A4B1974798D1EC68845A1137</vt:lpwstr>
  </property>
  <property fmtid="{D5CDD505-2E9C-101B-9397-08002B2CF9AE}" pid="3" name="DWDivision">
    <vt:lpwstr>1;#Sektion MLJ Energi ＆ Miljö Stockholm|1df09af4-21aa-4874-a2a7-9a019f68d629</vt:lpwstr>
  </property>
  <property fmtid="{D5CDD505-2E9C-101B-9397-08002B2CF9AE}" pid="4" name="DWTechnicalArea">
    <vt:lpwstr/>
  </property>
  <property fmtid="{D5CDD505-2E9C-101B-9397-08002B2CF9AE}" pid="5" name="DWTaxonomyDocumentType">
    <vt:lpwstr/>
  </property>
</Properties>
</file>